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5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vanstraelen/Dropbox (Energinvest)/H2020 - 2018-EE13 (AmBIENCe - VITO) - Internal/20. Project/20.4 Project WPs and Tasks/20.4.3 WP3/20.4.3.5 Seneffe Pilot/20.4.3.5.2 Available data/1. Energy consumption &amp; cost &amp; eco invests/"/>
    </mc:Choice>
  </mc:AlternateContent>
  <xr:revisionPtr revIDLastSave="0" documentId="8_{4B79AD65-4877-471A-80A7-029262730BC1}" xr6:coauthVersionLast="47" xr6:coauthVersionMax="47" xr10:uidLastSave="{00000000-0000-0000-0000-000000000000}"/>
  <bookViews>
    <workbookView xWindow="0" yWindow="480" windowWidth="28800" windowHeight="17460" tabRatio="500" xr2:uid="{00000000-000D-0000-FFFF-FFFF00000000}"/>
  </bookViews>
  <sheets>
    <sheet name="Euros" sheetId="1" r:id="rId1"/>
    <sheet name="Quantities" sheetId="3" r:id="rId2"/>
    <sheet name="Investments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0" i="1" l="1"/>
  <c r="K100" i="3" l="1"/>
  <c r="J110" i="3"/>
  <c r="J111" i="3"/>
  <c r="J109" i="3"/>
  <c r="I111" i="3"/>
  <c r="I110" i="3"/>
  <c r="I109" i="3"/>
  <c r="J108" i="3"/>
  <c r="N78" i="3"/>
  <c r="D80" i="3"/>
  <c r="D89" i="3"/>
  <c r="E71" i="3"/>
  <c r="I112" i="3" s="1"/>
  <c r="N60" i="3"/>
  <c r="N68" i="3"/>
  <c r="I96" i="3" s="1"/>
  <c r="O63" i="1"/>
  <c r="N90" i="3"/>
  <c r="N89" i="3"/>
  <c r="N88" i="3"/>
  <c r="N87" i="3"/>
  <c r="N86" i="3"/>
  <c r="N85" i="3"/>
  <c r="N84" i="3"/>
  <c r="O60" i="1"/>
  <c r="K75" i="1" s="1"/>
  <c r="O52" i="1"/>
  <c r="O62" i="1"/>
  <c r="O69" i="1"/>
  <c r="J112" i="3" l="1"/>
  <c r="J118" i="3"/>
  <c r="M75" i="3"/>
  <c r="N75" i="3" s="1"/>
  <c r="J92" i="3" s="1"/>
  <c r="J93" i="3" s="1"/>
  <c r="N81" i="3"/>
  <c r="N79" i="3"/>
  <c r="J98" i="3" s="1"/>
  <c r="J97" i="3"/>
  <c r="N77" i="3"/>
  <c r="J96" i="3" s="1"/>
  <c r="N76" i="3"/>
  <c r="K79" i="1"/>
  <c r="J75" i="1"/>
  <c r="K77" i="1"/>
  <c r="K81" i="1" s="1"/>
  <c r="K78" i="1"/>
  <c r="K84" i="1" s="1"/>
  <c r="O40" i="1"/>
  <c r="K76" i="1"/>
  <c r="K82" i="1" l="1"/>
  <c r="O68" i="1"/>
  <c r="N80" i="3"/>
  <c r="J99" i="3" s="1"/>
  <c r="O38" i="1"/>
  <c r="H75" i="1" s="1"/>
  <c r="O31" i="1"/>
  <c r="G75" i="1" s="1"/>
  <c r="O45" i="1"/>
  <c r="I75" i="1" s="1"/>
  <c r="O17" i="1"/>
  <c r="E75" i="1" s="1"/>
  <c r="O10" i="1"/>
  <c r="D75" i="1" s="1"/>
  <c r="O4" i="1"/>
  <c r="C76" i="1" s="1"/>
  <c r="O33" i="1"/>
  <c r="G77" i="1" s="1"/>
  <c r="O34" i="1"/>
  <c r="G78" i="1" s="1"/>
  <c r="G84" i="1" s="1"/>
  <c r="O13" i="1"/>
  <c r="O6" i="1"/>
  <c r="C78" i="1" s="1"/>
  <c r="O11" i="1"/>
  <c r="D76" i="1" s="1"/>
  <c r="O18" i="1"/>
  <c r="E76" i="1" s="1"/>
  <c r="O3" i="1"/>
  <c r="C75" i="1" s="1"/>
  <c r="O5" i="1"/>
  <c r="C77" i="1" s="1"/>
  <c r="D78" i="1"/>
  <c r="D84" i="1" s="1"/>
  <c r="E27" i="1"/>
  <c r="O27" i="1" s="1"/>
  <c r="F78" i="1" s="1"/>
  <c r="F84" i="1" s="1"/>
  <c r="E48" i="1"/>
  <c r="M48" i="1"/>
  <c r="F55" i="1"/>
  <c r="O55" i="1" s="1"/>
  <c r="F54" i="1"/>
  <c r="O47" i="1" s="1"/>
  <c r="O12" i="1"/>
  <c r="D77" i="1" s="1"/>
  <c r="O19" i="1"/>
  <c r="E77" i="1" s="1"/>
  <c r="O25" i="1"/>
  <c r="F76" i="1" s="1"/>
  <c r="O26" i="1"/>
  <c r="F77" i="1" s="1"/>
  <c r="L24" i="1"/>
  <c r="O24" i="1" s="1"/>
  <c r="F75" i="1" s="1"/>
  <c r="O32" i="1"/>
  <c r="G76" i="1" s="1"/>
  <c r="O39" i="1"/>
  <c r="H76" i="1" s="1"/>
  <c r="H77" i="1"/>
  <c r="O46" i="1"/>
  <c r="I76" i="1" s="1"/>
  <c r="O53" i="1"/>
  <c r="J76" i="1" s="1"/>
  <c r="O7" i="1"/>
  <c r="C79" i="1" s="1"/>
  <c r="O14" i="1"/>
  <c r="D79" i="1" s="1"/>
  <c r="O21" i="1"/>
  <c r="E79" i="1" s="1"/>
  <c r="C28" i="1"/>
  <c r="O28" i="1" s="1"/>
  <c r="F79" i="1" s="1"/>
  <c r="E35" i="1"/>
  <c r="O35" i="1" s="1"/>
  <c r="G79" i="1" s="1"/>
  <c r="O42" i="1"/>
  <c r="H79" i="1" s="1"/>
  <c r="O49" i="1"/>
  <c r="I79" i="1" s="1"/>
  <c r="C111" i="3"/>
  <c r="D111" i="3"/>
  <c r="E111" i="3"/>
  <c r="F111" i="3"/>
  <c r="G111" i="3"/>
  <c r="H111" i="3"/>
  <c r="B111" i="3"/>
  <c r="H110" i="3"/>
  <c r="G110" i="3"/>
  <c r="F110" i="3"/>
  <c r="E110" i="3"/>
  <c r="D110" i="3"/>
  <c r="C110" i="3"/>
  <c r="B110" i="3"/>
  <c r="E59" i="3"/>
  <c r="G109" i="3"/>
  <c r="H81" i="1" s="1"/>
  <c r="F109" i="3"/>
  <c r="F108" i="3"/>
  <c r="G108" i="3"/>
  <c r="H108" i="3"/>
  <c r="I108" i="3"/>
  <c r="E107" i="3"/>
  <c r="E108" i="3" s="1"/>
  <c r="D107" i="3"/>
  <c r="D108" i="3" s="1"/>
  <c r="C107" i="3"/>
  <c r="C108" i="3" s="1"/>
  <c r="B107" i="3"/>
  <c r="K107" i="3" s="1"/>
  <c r="N40" i="3"/>
  <c r="F94" i="3" s="1"/>
  <c r="F95" i="3" s="1"/>
  <c r="N49" i="3"/>
  <c r="G94" i="3" s="1"/>
  <c r="G95" i="3" s="1"/>
  <c r="N58" i="3"/>
  <c r="H94" i="3" s="1"/>
  <c r="H95" i="3" s="1"/>
  <c r="N67" i="3"/>
  <c r="I94" i="3" s="1"/>
  <c r="I95" i="3" s="1"/>
  <c r="B95" i="3"/>
  <c r="N22" i="3"/>
  <c r="D94" i="3" s="1"/>
  <c r="D95" i="3" s="1"/>
  <c r="N4" i="3"/>
  <c r="C94" i="3" s="1"/>
  <c r="N31" i="3"/>
  <c r="N5" i="3"/>
  <c r="B96" i="3" s="1"/>
  <c r="N23" i="3"/>
  <c r="C96" i="3" s="1"/>
  <c r="N32" i="3"/>
  <c r="E96" i="3" s="1"/>
  <c r="N41" i="3"/>
  <c r="F96" i="3" s="1"/>
  <c r="N50" i="3"/>
  <c r="G96" i="3" s="1"/>
  <c r="F59" i="3"/>
  <c r="G59" i="3"/>
  <c r="N6" i="3"/>
  <c r="B97" i="3" s="1"/>
  <c r="N24" i="3"/>
  <c r="D97" i="3" s="1"/>
  <c r="N33" i="3"/>
  <c r="E97" i="3" s="1"/>
  <c r="N42" i="3"/>
  <c r="F97" i="3" s="1"/>
  <c r="N51" i="3"/>
  <c r="G97" i="3" s="1"/>
  <c r="H97" i="3"/>
  <c r="N69" i="3"/>
  <c r="I97" i="3" s="1"/>
  <c r="N7" i="3"/>
  <c r="B98" i="3" s="1"/>
  <c r="N25" i="3"/>
  <c r="D98" i="3" s="1"/>
  <c r="N34" i="3"/>
  <c r="E98" i="3" s="1"/>
  <c r="N43" i="3"/>
  <c r="F98" i="3" s="1"/>
  <c r="N52" i="3"/>
  <c r="G98" i="3" s="1"/>
  <c r="N61" i="3"/>
  <c r="H98" i="3" s="1"/>
  <c r="N8" i="3"/>
  <c r="B99" i="3" s="1"/>
  <c r="D26" i="3"/>
  <c r="D35" i="3"/>
  <c r="N35" i="3" s="1"/>
  <c r="E99" i="3" s="1"/>
  <c r="C44" i="3"/>
  <c r="N44" i="3"/>
  <c r="F99" i="3" s="1"/>
  <c r="C53" i="3"/>
  <c r="N53" i="3" s="1"/>
  <c r="G99" i="3" s="1"/>
  <c r="D62" i="3"/>
  <c r="L62" i="3"/>
  <c r="N3" i="3"/>
  <c r="B92" i="3" s="1"/>
  <c r="D21" i="3"/>
  <c r="L21" i="3"/>
  <c r="M21" i="3"/>
  <c r="B30" i="3"/>
  <c r="E30" i="3"/>
  <c r="K30" i="3"/>
  <c r="B39" i="3"/>
  <c r="D39" i="3"/>
  <c r="K39" i="3"/>
  <c r="N39" i="3"/>
  <c r="F92" i="3" s="1"/>
  <c r="F93" i="3" s="1"/>
  <c r="C48" i="3"/>
  <c r="M48" i="3"/>
  <c r="H105" i="3" s="1"/>
  <c r="H106" i="3" s="1"/>
  <c r="N48" i="3"/>
  <c r="M57" i="3"/>
  <c r="L66" i="3"/>
  <c r="J79" i="1"/>
  <c r="N72" i="3"/>
  <c r="N63" i="3"/>
  <c r="N54" i="3"/>
  <c r="N45" i="3"/>
  <c r="N36" i="3"/>
  <c r="N27" i="3"/>
  <c r="N18" i="3"/>
  <c r="D17" i="3"/>
  <c r="L17" i="3"/>
  <c r="M17" i="3"/>
  <c r="N16" i="3"/>
  <c r="N15" i="3"/>
  <c r="N14" i="3"/>
  <c r="N13" i="3"/>
  <c r="D12" i="3"/>
  <c r="K12" i="3"/>
  <c r="M12" i="3"/>
  <c r="N9" i="3"/>
  <c r="M56" i="1"/>
  <c r="L79" i="1" l="1"/>
  <c r="O48" i="1"/>
  <c r="I78" i="1" s="1"/>
  <c r="I84" i="1" s="1"/>
  <c r="G105" i="3"/>
  <c r="G106" i="3" s="1"/>
  <c r="G115" i="3" s="1"/>
  <c r="G117" i="3" s="1"/>
  <c r="D112" i="3"/>
  <c r="G81" i="1"/>
  <c r="G92" i="3"/>
  <c r="G93" i="3" s="1"/>
  <c r="F112" i="3"/>
  <c r="N66" i="3"/>
  <c r="I92" i="3" s="1"/>
  <c r="I93" i="3" s="1"/>
  <c r="J105" i="3"/>
  <c r="J106" i="3" s="1"/>
  <c r="J115" i="3" s="1"/>
  <c r="K111" i="3"/>
  <c r="N21" i="3"/>
  <c r="D92" i="3" s="1"/>
  <c r="D93" i="3" s="1"/>
  <c r="N57" i="3"/>
  <c r="H92" i="3" s="1"/>
  <c r="H93" i="3" s="1"/>
  <c r="I105" i="3"/>
  <c r="I106" i="3" s="1"/>
  <c r="K110" i="3"/>
  <c r="D105" i="3"/>
  <c r="D106" i="3" s="1"/>
  <c r="D115" i="3" s="1"/>
  <c r="F105" i="3"/>
  <c r="F106" i="3" s="1"/>
  <c r="F115" i="3" s="1"/>
  <c r="B105" i="3"/>
  <c r="C112" i="3"/>
  <c r="N12" i="3"/>
  <c r="C92" i="3" s="1"/>
  <c r="C93" i="3" s="1"/>
  <c r="N70" i="3"/>
  <c r="I98" i="3" s="1"/>
  <c r="N62" i="3"/>
  <c r="H99" i="3" s="1"/>
  <c r="N30" i="3"/>
  <c r="E92" i="3" s="1"/>
  <c r="E93" i="3" s="1"/>
  <c r="E105" i="3"/>
  <c r="E106" i="3" s="1"/>
  <c r="E115" i="3" s="1"/>
  <c r="I77" i="1"/>
  <c r="O54" i="1"/>
  <c r="J77" i="1" s="1"/>
  <c r="J81" i="1" s="1"/>
  <c r="L75" i="1"/>
  <c r="L76" i="1"/>
  <c r="K86" i="1"/>
  <c r="K85" i="1"/>
  <c r="C84" i="1"/>
  <c r="G86" i="1"/>
  <c r="D86" i="1"/>
  <c r="D96" i="3"/>
  <c r="G85" i="1"/>
  <c r="D85" i="1"/>
  <c r="B93" i="3"/>
  <c r="H85" i="1"/>
  <c r="C95" i="3"/>
  <c r="J78" i="1"/>
  <c r="C85" i="1"/>
  <c r="F85" i="1"/>
  <c r="F86" i="1"/>
  <c r="C86" i="1"/>
  <c r="N26" i="3"/>
  <c r="D99" i="3" s="1"/>
  <c r="C98" i="3"/>
  <c r="K98" i="3" s="1"/>
  <c r="C97" i="3"/>
  <c r="K97" i="3" s="1"/>
  <c r="E94" i="3"/>
  <c r="B106" i="3"/>
  <c r="H112" i="3"/>
  <c r="E85" i="1"/>
  <c r="O20" i="1"/>
  <c r="E78" i="1" s="1"/>
  <c r="E86" i="1" s="1"/>
  <c r="C105" i="3"/>
  <c r="C106" i="3" s="1"/>
  <c r="C115" i="3" s="1"/>
  <c r="N71" i="3"/>
  <c r="I99" i="3" s="1"/>
  <c r="G112" i="3"/>
  <c r="N17" i="3"/>
  <c r="C99" i="3" s="1"/>
  <c r="B112" i="3"/>
  <c r="E112" i="3"/>
  <c r="O41" i="1"/>
  <c r="H78" i="1" s="1"/>
  <c r="H84" i="1" s="1"/>
  <c r="B108" i="3"/>
  <c r="K108" i="3" s="1"/>
  <c r="H59" i="3"/>
  <c r="E95" i="3" l="1"/>
  <c r="K94" i="3"/>
  <c r="K99" i="3"/>
  <c r="K95" i="3"/>
  <c r="L78" i="1"/>
  <c r="J84" i="1"/>
  <c r="J82" i="1"/>
  <c r="L84" i="1"/>
  <c r="K93" i="3"/>
  <c r="F118" i="3"/>
  <c r="G82" i="1"/>
  <c r="D118" i="3"/>
  <c r="E82" i="1"/>
  <c r="E118" i="3"/>
  <c r="E119" i="3" s="1"/>
  <c r="F82" i="1"/>
  <c r="K112" i="3"/>
  <c r="L82" i="1" s="1"/>
  <c r="C82" i="1"/>
  <c r="K106" i="3"/>
  <c r="C118" i="3"/>
  <c r="D82" i="1"/>
  <c r="K92" i="3"/>
  <c r="J117" i="3"/>
  <c r="J120" i="3" s="1"/>
  <c r="J119" i="3"/>
  <c r="H118" i="3"/>
  <c r="I82" i="1"/>
  <c r="K105" i="3"/>
  <c r="G118" i="3"/>
  <c r="H82" i="1"/>
  <c r="J85" i="1"/>
  <c r="J86" i="1"/>
  <c r="D119" i="3"/>
  <c r="D117" i="3"/>
  <c r="D120" i="3" s="1"/>
  <c r="E117" i="3"/>
  <c r="F119" i="3"/>
  <c r="F117" i="3"/>
  <c r="F120" i="3" s="1"/>
  <c r="C119" i="3"/>
  <c r="C117" i="3"/>
  <c r="C120" i="3" s="1"/>
  <c r="G120" i="3"/>
  <c r="G119" i="3"/>
  <c r="I85" i="1"/>
  <c r="N85" i="1" s="1"/>
  <c r="I86" i="1"/>
  <c r="N86" i="1" s="1"/>
  <c r="L77" i="1"/>
  <c r="N84" i="1"/>
  <c r="H86" i="1"/>
  <c r="M84" i="1"/>
  <c r="E84" i="1"/>
  <c r="I118" i="3"/>
  <c r="M118" i="3" s="1"/>
  <c r="N118" i="3" s="1"/>
  <c r="I59" i="3"/>
  <c r="B118" i="3"/>
  <c r="B115" i="3"/>
  <c r="B119" i="3" s="1"/>
  <c r="K118" i="3" l="1"/>
  <c r="L118" i="3" s="1"/>
  <c r="E120" i="3"/>
  <c r="L85" i="1"/>
  <c r="M85" i="1" s="1"/>
  <c r="L86" i="1"/>
  <c r="M86" i="1" s="1"/>
  <c r="B117" i="3"/>
  <c r="J59" i="3"/>
  <c r="B120" i="3" l="1"/>
  <c r="K59" i="3"/>
  <c r="L59" i="3" l="1"/>
  <c r="H109" i="3" s="1"/>
  <c r="N59" i="3"/>
  <c r="H96" i="3" s="1"/>
  <c r="K96" i="3" s="1"/>
  <c r="I81" i="1" l="1"/>
  <c r="K109" i="3"/>
  <c r="L81" i="1"/>
  <c r="I115" i="3"/>
  <c r="H115" i="3"/>
  <c r="K115" i="3" s="1"/>
  <c r="L115" i="3" s="1"/>
  <c r="L119" i="3" s="1"/>
  <c r="I117" i="3" l="1"/>
  <c r="I119" i="3"/>
  <c r="H119" i="3"/>
  <c r="H117" i="3"/>
  <c r="K117" i="3" s="1"/>
  <c r="L117" i="3" s="1"/>
  <c r="L120" i="3" s="1"/>
  <c r="M115" i="3"/>
  <c r="M119" i="3" s="1"/>
  <c r="N115" i="3" l="1"/>
  <c r="N119" i="3" s="1"/>
  <c r="K119" i="3"/>
  <c r="H120" i="3"/>
  <c r="M117" i="3"/>
  <c r="I120" i="3"/>
  <c r="N117" i="3" l="1"/>
  <c r="N120" i="3" s="1"/>
  <c r="M120" i="3"/>
  <c r="K120" i="3"/>
</calcChain>
</file>

<file path=xl/sharedStrings.xml><?xml version="1.0" encoding="utf-8"?>
<sst xmlns="http://schemas.openxmlformats.org/spreadsheetml/2006/main" count="440" uniqueCount="70">
  <si>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</si>
  <si>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</si>
  <si>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</si>
  <si>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</si>
  <si>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</si>
  <si>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</si>
  <si>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</si>
  <si>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</si>
  <si>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</si>
  <si>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</si>
  <si>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</si>
  <si>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</si>
  <si>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Total</t>
  </si>
  <si>
    <t>Pellets</t>
  </si>
  <si>
    <t>Fuel</t>
  </si>
  <si>
    <t>Gas</t>
  </si>
  <si>
    <t>Electricity</t>
  </si>
  <si>
    <t>Maintenance/Cleaning</t>
  </si>
  <si>
    <t>Coûts</t>
  </si>
  <si>
    <t>Energy costs</t>
  </si>
  <si>
    <t>TOTAL</t>
  </si>
  <si>
    <t>Investment</t>
  </si>
  <si>
    <t>Average gas price</t>
  </si>
  <si>
    <t>€/kWh gaz</t>
  </si>
  <si>
    <t>Electricity price</t>
  </si>
  <si>
    <t>€/kWh élec</t>
  </si>
  <si>
    <t xml:space="preserve">Average since start </t>
  </si>
  <si>
    <t>Average three years</t>
  </si>
  <si>
    <t>TOTAL Cost Electricity</t>
  </si>
  <si>
    <t>TOTAL Cost Heating</t>
  </si>
  <si>
    <t>TOTAL Cost Energy</t>
  </si>
  <si>
    <t xml:space="preserve">Electricity - Day tarif </t>
  </si>
  <si>
    <t xml:space="preserve">Electricity - Night &amp; WE tarif </t>
  </si>
  <si>
    <t>Electricity Total</t>
  </si>
  <si>
    <t>Gaz</t>
  </si>
  <si>
    <t>Electricité Total</t>
  </si>
  <si>
    <t>Maintenance/Rammonage</t>
  </si>
  <si>
    <t>Pellets (Kg)</t>
  </si>
  <si>
    <t>Pellets (kWh)</t>
  </si>
  <si>
    <t>Fuel (L) ( delay 12 mois)</t>
  </si>
  <si>
    <t>Fuel (kWh)</t>
  </si>
  <si>
    <t>Gas (kWh)</t>
  </si>
  <si>
    <t>Electricity - Day tarif  (kWh)</t>
  </si>
  <si>
    <t>Electricity - Night &amp; WE tarif  (kWh)</t>
  </si>
  <si>
    <t>TOTAL Electricity (kWh)</t>
  </si>
  <si>
    <t>Corrected on a monthly basis</t>
  </si>
  <si>
    <t>Wood pellets (kg)</t>
  </si>
  <si>
    <t>Wood pellets (kWh)</t>
  </si>
  <si>
    <t>Fuel (L) (shifted by 12 months between supply and use)</t>
  </si>
  <si>
    <t>Electricity - Day tarif (kWh)</t>
  </si>
  <si>
    <t>Electricity - Night &amp; WE tarif (kWh)</t>
  </si>
  <si>
    <t>Total Electricity (kWh)</t>
  </si>
  <si>
    <t>Average since 2012</t>
  </si>
  <si>
    <t>Average (3 years)</t>
  </si>
  <si>
    <t>Average  (3 years)/m2 (eq. 150 m2)</t>
  </si>
  <si>
    <t>Total Heating (kWh)</t>
  </si>
  <si>
    <t>Degree days (Dgnorm = 2013)</t>
  </si>
  <si>
    <t>Total Heating normalized (kWh)</t>
  </si>
  <si>
    <t>Total Energy (kWh)</t>
  </si>
  <si>
    <t>Total Energy normalized (kWh)</t>
  </si>
  <si>
    <t>Investments</t>
  </si>
  <si>
    <t>Date</t>
  </si>
  <si>
    <t>Double  glazing office, kitchen door</t>
  </si>
  <si>
    <t>pellet stove</t>
  </si>
  <si>
    <t>gas condensing boiler instead of fuel</t>
  </si>
  <si>
    <t>Isolation outside terrace</t>
  </si>
  <si>
    <t>Jacuzzi</t>
  </si>
  <si>
    <t>Isolation roof plateform SDB/room</t>
  </si>
  <si>
    <t>thermostatic taps atelier</t>
  </si>
  <si>
    <t>Pump bassin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</si>
</sst>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_€_ ;_ * \(#,##0.00\)\ _€_ ;_ * &quot;-&quot;??_)\ _€_ ;_ @_ "/>
    <numFmt numFmtId="165" formatCode="_ * #,##0_)\ _€_ ;_ * \(#,##0\)\ _€_ ;_ * &quot;-&quot;??_)\ _€_ ;_ @_ "/>
    <numFmt numFmtId="166" formatCode="_ * #,##0.000_)\ _€_ ;_ * \(#,##0.000\)\ _€_ ;_ * &quot;-&quot;??_)\ _€_ ;_ @_ "/>
    <numFmt numFmtId="167" formatCode="0.000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6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" fontId="0" fillId="0" borderId="0" xfId="0" applyNumberFormat="1"/>
    <xf numFmtId="1" fontId="2" fillId="0" borderId="0" xfId="0" applyNumberFormat="1" applyFont="1"/>
    <xf numFmtId="1" fontId="0" fillId="7" borderId="0" xfId="0" applyNumberFormat="1" applyFill="1"/>
    <xf numFmtId="0" fontId="3" fillId="0" borderId="0" xfId="0" applyFont="1"/>
    <xf numFmtId="165" fontId="0" fillId="0" borderId="0" xfId="1" applyNumberFormat="1" applyFont="1"/>
    <xf numFmtId="165" fontId="6" fillId="0" borderId="0" xfId="1" applyNumberFormat="1" applyFont="1"/>
    <xf numFmtId="165" fontId="2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1" fontId="0" fillId="0" borderId="1" xfId="0" applyNumberFormat="1" applyBorder="1"/>
    <xf numFmtId="165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2" fontId="0" fillId="5" borderId="0" xfId="0" applyNumberFormat="1" applyFill="1"/>
    <xf numFmtId="0" fontId="0" fillId="0" borderId="0" xfId="0" applyAlignment="1">
      <alignment horizontal="right"/>
    </xf>
    <xf numFmtId="165" fontId="0" fillId="8" borderId="0" xfId="1" applyNumberFormat="1" applyFont="1" applyFill="1"/>
    <xf numFmtId="165" fontId="2" fillId="8" borderId="0" xfId="1" applyNumberFormat="1" applyFont="1" applyFill="1"/>
    <xf numFmtId="1" fontId="0" fillId="8" borderId="0" xfId="0" applyNumberFormat="1" applyFill="1"/>
    <xf numFmtId="166" fontId="0" fillId="0" borderId="0" xfId="0" applyNumberFormat="1"/>
    <xf numFmtId="2" fontId="0" fillId="3" borderId="0" xfId="0" applyNumberFormat="1" applyFill="1"/>
    <xf numFmtId="1" fontId="0" fillId="5" borderId="0" xfId="0" applyNumberFormat="1" applyFill="1"/>
    <xf numFmtId="0" fontId="2" fillId="5" borderId="0" xfId="0" applyFont="1" applyFill="1"/>
    <xf numFmtId="0" fontId="0" fillId="9" borderId="0" xfId="0" applyFill="1"/>
    <xf numFmtId="165" fontId="0" fillId="0" borderId="0" xfId="1" applyNumberFormat="1" applyFont="1" applyFill="1"/>
    <xf numFmtId="165" fontId="8" fillId="0" borderId="0" xfId="1" applyNumberFormat="1" applyFont="1"/>
    <xf numFmtId="167" fontId="0" fillId="0" borderId="0" xfId="0" applyNumberFormat="1"/>
    <xf numFmtId="166" fontId="3" fillId="0" borderId="0" xfId="0" applyNumberFormat="1" applyFont="1"/>
  </cellXfs>
  <cellStyles count="64">
    <cellStyle name="Comma" xfId="1" builtinId="3"/>
    <cellStyle name="Followed Hyperlink" xfId="17" builtinId="9" hidden="1"/>
    <cellStyle name="Followed Hyperlink" xfId="59" builtinId="9" hidden="1"/>
    <cellStyle name="Followed Hyperlink" xfId="63" builtinId="9" hidden="1"/>
    <cellStyle name="Followed Hyperlink" xfId="53" builtinId="9" hidden="1"/>
    <cellStyle name="Followed Hyperlink" xfId="31" builtinId="9" hidden="1"/>
    <cellStyle name="Followed Hyperlink" xfId="47" builtinId="9" hidden="1"/>
    <cellStyle name="Followed Hyperlink" xfId="27" builtinId="9" hidden="1"/>
    <cellStyle name="Followed Hyperlink" xfId="45" builtinId="9" hidden="1"/>
    <cellStyle name="Followed Hyperlink" xfId="15" builtinId="9" hidden="1"/>
    <cellStyle name="Followed Hyperlink" xfId="51" builtinId="9" hidden="1"/>
    <cellStyle name="Followed Hyperlink" xfId="35" builtinId="9" hidden="1"/>
    <cellStyle name="Followed Hyperlink" xfId="43" builtinId="9" hidden="1"/>
    <cellStyle name="Followed Hyperlink" xfId="9" builtinId="9" hidden="1"/>
    <cellStyle name="Followed Hyperlink" xfId="3" builtinId="9" hidden="1"/>
    <cellStyle name="Followed Hyperlink" xfId="7" builtinId="9" hidden="1"/>
    <cellStyle name="Followed Hyperlink" xfId="21" builtinId="9" hidden="1"/>
    <cellStyle name="Followed Hyperlink" xfId="61" builtinId="9" hidden="1"/>
    <cellStyle name="Followed Hyperlink" xfId="13" builtinId="9" hidden="1"/>
    <cellStyle name="Followed Hyperlink" xfId="39" builtinId="9" hidden="1"/>
    <cellStyle name="Followed Hyperlink" xfId="57" builtinId="9" hidden="1"/>
    <cellStyle name="Followed Hyperlink" xfId="11" builtinId="9" hidden="1"/>
    <cellStyle name="Followed Hyperlink" xfId="41" builtinId="9" hidden="1"/>
    <cellStyle name="Followed Hyperlink" xfId="37" builtinId="9" hidden="1"/>
    <cellStyle name="Followed Hyperlink" xfId="19" builtinId="9" hidden="1"/>
    <cellStyle name="Followed Hyperlink" xfId="55" builtinId="9" hidden="1"/>
    <cellStyle name="Followed Hyperlink" xfId="23" builtinId="9" hidden="1"/>
    <cellStyle name="Followed Hyperlink" xfId="5" builtinId="9" hidden="1"/>
    <cellStyle name="Followed Hyperlink" xfId="33" builtinId="9" hidden="1"/>
    <cellStyle name="Followed Hyperlink" xfId="25" builtinId="9" hidden="1"/>
    <cellStyle name="Followed Hyperlink" xfId="29" builtinId="9" hidden="1"/>
    <cellStyle name="Followed Hyperlink" xfId="49" builtinId="9" hidden="1"/>
    <cellStyle name="Hyperlink" xfId="48" builtinId="8" hidden="1"/>
    <cellStyle name="Hyperlink" xfId="50" builtinId="8" hidden="1"/>
    <cellStyle name="Hyperlink" xfId="30" builtinId="8" hidden="1"/>
    <cellStyle name="Hyperlink" xfId="22" builtinId="8" hidden="1"/>
    <cellStyle name="Hyperlink" xfId="54" builtinId="8" hidden="1"/>
    <cellStyle name="Hyperlink" xfId="62" builtinId="8" hidden="1"/>
    <cellStyle name="Hyperlink" xfId="60" builtinId="8" hidden="1"/>
    <cellStyle name="Hyperlink" xfId="52" builtinId="8" hidden="1"/>
    <cellStyle name="Hyperlink" xfId="40" builtinId="8" hidden="1"/>
    <cellStyle name="Hyperlink" xfId="44" builtinId="8" hidden="1"/>
    <cellStyle name="Hyperlink" xfId="46" builtinId="8" hidden="1"/>
    <cellStyle name="Hyperlink" xfId="20" builtinId="8" hidden="1"/>
    <cellStyle name="Hyperlink" xfId="10" builtinId="8" hidden="1"/>
    <cellStyle name="Hyperlink" xfId="24" builtinId="8" hidden="1"/>
    <cellStyle name="Hyperlink" xfId="58" builtinId="8" hidden="1"/>
    <cellStyle name="Hyperlink" xfId="28" builtinId="8" hidden="1"/>
    <cellStyle name="Hyperlink" xfId="8" builtinId="8" hidden="1"/>
    <cellStyle name="Hyperlink" xfId="42" builtinId="8" hidden="1"/>
    <cellStyle name="Hyperlink" xfId="32" builtinId="8" hidden="1"/>
    <cellStyle name="Hyperlink" xfId="56" builtinId="8" hidden="1"/>
    <cellStyle name="Hyperlink" xfId="36" builtinId="8" hidden="1"/>
    <cellStyle name="Hyperlink" xfId="38" builtinId="8" hidden="1"/>
    <cellStyle name="Hyperlink" xfId="6" builtinId="8" hidden="1"/>
    <cellStyle name="Hyperlink" xfId="12" builtinId="8" hidden="1"/>
    <cellStyle name="Hyperlink" xfId="14" builtinId="8" hidden="1"/>
    <cellStyle name="Hyperlink" xfId="16" builtinId="8" hidden="1"/>
    <cellStyle name="Hyperlink" xfId="34" builtinId="8" hidden="1"/>
    <cellStyle name="Hyperlink" xfId="26" builtinId="8" hidden="1"/>
    <cellStyle name="Hyperlink" xfId="18" builtinId="8" hidden="1"/>
    <cellStyle name="Hyperlink" xfId="4" builtinId="8" hidden="1"/>
    <cellStyle name="Hyperlink" xfId="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Euros!$A$84</c:f>
              <c:strCache>
                <c:ptCount val="1"/>
                <c:pt idx="0">
                  <c:v>TOTAL Cost Electricity</c:v>
                </c:pt>
              </c:strCache>
            </c:strRef>
          </c:tx>
          <c:invertIfNegative val="0"/>
          <c:cat>
            <c:numRef>
              <c:f>Euros!$C$83:$K$83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Euros!$C$84:$K$84</c:f>
              <c:numCache>
                <c:formatCode>0</c:formatCode>
                <c:ptCount val="9"/>
                <c:pt idx="0">
                  <c:v>122.21600000000001</c:v>
                </c:pt>
                <c:pt idx="1">
                  <c:v>1311.354</c:v>
                </c:pt>
                <c:pt idx="2">
                  <c:v>1628.7249999999999</c:v>
                </c:pt>
                <c:pt idx="3">
                  <c:v>1808.9059090909091</c:v>
                </c:pt>
                <c:pt idx="4">
                  <c:v>2031.5057575757576</c:v>
                </c:pt>
                <c:pt idx="5">
                  <c:v>1801.7648717948719</c:v>
                </c:pt>
                <c:pt idx="6">
                  <c:v>1860.6281615384617</c:v>
                </c:pt>
                <c:pt idx="7">
                  <c:v>1889.8678909090909</c:v>
                </c:pt>
                <c:pt idx="8">
                  <c:v>1948.653409090909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C844-B68D-C40EF5A41B5E}"/>
            </c:ext>
          </c:extLst>
        </c:ser>
        <c:ser>
          <c:idx val="1"/>
          <c:order val="1"/>
          <c:tx>
            <c:strRef>
              <c:f>Euros!$A$85</c:f>
              <c:strCache>
                <c:ptCount val="1"/>
                <c:pt idx="0">
                  <c:v>TOTAL Cost Heating</c:v>
                </c:pt>
              </c:strCache>
            </c:strRef>
          </c:tx>
          <c:invertIfNegative val="0"/>
          <c:cat>
            <c:numRef>
              <c:f>Euros!$C$83:$K$83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Euros!$C$85:$K$85</c:f>
              <c:numCache>
                <c:formatCode>0</c:formatCode>
                <c:ptCount val="9"/>
                <c:pt idx="0">
                  <c:v>1739.74</c:v>
                </c:pt>
                <c:pt idx="1">
                  <c:v>2469.6999999999998</c:v>
                </c:pt>
                <c:pt idx="2">
                  <c:v>2333.9300000000003</c:v>
                </c:pt>
                <c:pt idx="3">
                  <c:v>674.14</c:v>
                </c:pt>
                <c:pt idx="4">
                  <c:v>1312.5349999999999</c:v>
                </c:pt>
                <c:pt idx="5">
                  <c:v>1761.2566666666669</c:v>
                </c:pt>
                <c:pt idx="6">
                  <c:v>2302.8665333333333</c:v>
                </c:pt>
                <c:pt idx="7">
                  <c:v>1750.4627999999998</c:v>
                </c:pt>
                <c:pt idx="8">
                  <c:v>1580.4949999999999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C844-B68D-C40EF5A41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3786376"/>
        <c:axId val="-2133783336"/>
      </c:barChart>
      <c:catAx>
        <c:axId val="-2133786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3783336"/>
        <c:crosses val="autoZero"/>
        <c:auto val="1"/>
        <c:lblAlgn val="ctr"/>
        <c:lblOffset val="100"/>
        <c:noMultiLvlLbl val="0"/>
      </c:catAx>
      <c:valAx>
        <c:axId val="-21337833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-2133786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Euros!$A$84</c:f>
              <c:strCache>
                <c:ptCount val="1"/>
                <c:pt idx="0">
                  <c:v>TOTAL Cost Electricity</c:v>
                </c:pt>
              </c:strCache>
            </c:strRef>
          </c:tx>
          <c:invertIfNegative val="0"/>
          <c:cat>
            <c:numRef>
              <c:f>Euros!$C$83:$K$83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Euros!$C$84:$K$84</c:f>
              <c:numCache>
                <c:formatCode>0</c:formatCode>
                <c:ptCount val="9"/>
                <c:pt idx="0">
                  <c:v>122.21600000000001</c:v>
                </c:pt>
                <c:pt idx="1">
                  <c:v>1311.354</c:v>
                </c:pt>
                <c:pt idx="2">
                  <c:v>1628.7249999999999</c:v>
                </c:pt>
                <c:pt idx="3">
                  <c:v>1808.9059090909091</c:v>
                </c:pt>
                <c:pt idx="4">
                  <c:v>2031.5057575757576</c:v>
                </c:pt>
                <c:pt idx="5">
                  <c:v>1801.7648717948719</c:v>
                </c:pt>
                <c:pt idx="6">
                  <c:v>1860.6281615384617</c:v>
                </c:pt>
                <c:pt idx="7">
                  <c:v>1889.8678909090909</c:v>
                </c:pt>
                <c:pt idx="8">
                  <c:v>1948.653409090909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6-8E41-A4A9-DDBF6DCC4787}"/>
            </c:ext>
          </c:extLst>
        </c:ser>
        <c:ser>
          <c:idx val="1"/>
          <c:order val="1"/>
          <c:tx>
            <c:strRef>
              <c:f>Euros!$A$85</c:f>
              <c:strCache>
                <c:ptCount val="1"/>
                <c:pt idx="0">
                  <c:v>TOTAL Cost Heating</c:v>
                </c:pt>
              </c:strCache>
            </c:strRef>
          </c:tx>
          <c:invertIfNegative val="0"/>
          <c:cat>
            <c:numRef>
              <c:f>Euros!$C$83:$K$83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Euros!$C$85:$K$85</c:f>
              <c:numCache>
                <c:formatCode>0</c:formatCode>
                <c:ptCount val="9"/>
                <c:pt idx="0">
                  <c:v>1739.74</c:v>
                </c:pt>
                <c:pt idx="1">
                  <c:v>2469.6999999999998</c:v>
                </c:pt>
                <c:pt idx="2">
                  <c:v>2333.9300000000003</c:v>
                </c:pt>
                <c:pt idx="3">
                  <c:v>674.14</c:v>
                </c:pt>
                <c:pt idx="4">
                  <c:v>1312.5349999999999</c:v>
                </c:pt>
                <c:pt idx="5">
                  <c:v>1761.2566666666669</c:v>
                </c:pt>
                <c:pt idx="6">
                  <c:v>2302.8665333333333</c:v>
                </c:pt>
                <c:pt idx="7">
                  <c:v>1750.4627999999998</c:v>
                </c:pt>
                <c:pt idx="8">
                  <c:v>1580.4949999999999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6-8E41-A4A9-DDBF6DCC4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3754360"/>
        <c:axId val="-2133751320"/>
      </c:barChart>
      <c:catAx>
        <c:axId val="-2133754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3751320"/>
        <c:crosses val="autoZero"/>
        <c:auto val="1"/>
        <c:lblAlgn val="ctr"/>
        <c:lblOffset val="100"/>
        <c:noMultiLvlLbl val="0"/>
      </c:catAx>
      <c:valAx>
        <c:axId val="-21337513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-2133754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Energy Cost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spPr>
              <a:ln>
                <a:prstDash val="dash"/>
              </a:ln>
            </c:spPr>
            <c:trendlineType val="linear"/>
            <c:dispRSqr val="1"/>
            <c:dispEq val="1"/>
            <c:trendlineLbl>
              <c:layout>
                <c:manualLayout>
                  <c:x val="-0.20537793928453599"/>
                  <c:y val="0.12673384176803301"/>
                </c:manualLayout>
              </c:layout>
              <c:numFmt formatCode="General" sourceLinked="0"/>
            </c:trendlineLbl>
          </c:trendline>
          <c:xVal>
            <c:numRef>
              <c:f>Euros!$D$83:$K$83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xVal>
          <c:yVal>
            <c:numRef>
              <c:f>Euros!$D$84:$K$84</c:f>
              <c:numCache>
                <c:formatCode>0</c:formatCode>
                <c:ptCount val="8"/>
                <c:pt idx="0">
                  <c:v>1311.354</c:v>
                </c:pt>
                <c:pt idx="1">
                  <c:v>1628.7249999999999</c:v>
                </c:pt>
                <c:pt idx="2">
                  <c:v>1808.9059090909091</c:v>
                </c:pt>
                <c:pt idx="3">
                  <c:v>2031.5057575757576</c:v>
                </c:pt>
                <c:pt idx="4">
                  <c:v>1801.7648717948719</c:v>
                </c:pt>
                <c:pt idx="5">
                  <c:v>1860.6281615384617</c:v>
                </c:pt>
                <c:pt idx="6">
                  <c:v>1889.8678909090909</c:v>
                </c:pt>
                <c:pt idx="7">
                  <c:v>1948.653409090909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AF-4E45-B21D-1D94A0CE5B6C}"/>
            </c:ext>
          </c:extLst>
        </c:ser>
        <c:ser>
          <c:idx val="1"/>
          <c:order val="1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6306924957733602"/>
                  <c:y val="-5.48268449854711E-2"/>
                </c:manualLayout>
              </c:layout>
              <c:numFmt formatCode="General" sourceLinked="0"/>
            </c:trendlineLbl>
          </c:trendline>
          <c:xVal>
            <c:numRef>
              <c:f>Euros!$D$83:$K$83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xVal>
          <c:yVal>
            <c:numRef>
              <c:f>Euros!$D$85:$K$85</c:f>
              <c:numCache>
                <c:formatCode>0</c:formatCode>
                <c:ptCount val="8"/>
                <c:pt idx="0">
                  <c:v>2469.6999999999998</c:v>
                </c:pt>
                <c:pt idx="1">
                  <c:v>2333.9300000000003</c:v>
                </c:pt>
                <c:pt idx="2">
                  <c:v>674.14</c:v>
                </c:pt>
                <c:pt idx="3">
                  <c:v>1312.5349999999999</c:v>
                </c:pt>
                <c:pt idx="4">
                  <c:v>1761.2566666666669</c:v>
                </c:pt>
                <c:pt idx="5">
                  <c:v>2302.8665333333333</c:v>
                </c:pt>
                <c:pt idx="6">
                  <c:v>1750.4627999999998</c:v>
                </c:pt>
                <c:pt idx="7">
                  <c:v>1580.4949999999999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0AF-4E45-B21D-1D94A0CE5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5117720"/>
        <c:axId val="-2133723112"/>
      </c:scatterChart>
      <c:valAx>
        <c:axId val="-2135117720"/>
        <c:scaling>
          <c:orientation val="minMax"/>
        </c:scaling>
        <c:delete val="0"/>
        <c:axPos val="b"/>
        <c:title>
          <c:overlay val="0"/>
        </c:title>
        <c:numFmt formatCode="General" sourceLinked="1"/>
        <c:majorTickMark val="out"/>
        <c:minorTickMark val="none"/>
        <c:tickLblPos val="nextTo"/>
        <c:crossAx val="-2133723112"/>
        <c:crosses val="autoZero"/>
        <c:crossBetween val="midCat"/>
      </c:valAx>
      <c:valAx>
        <c:axId val="-2133723112"/>
        <c:scaling>
          <c:orientation val="minMax"/>
        </c:scaling>
        <c:delete val="0"/>
        <c:axPos val="l"/>
        <c:majorGridlines/>
        <c:minorGridlines/>
        <c:title>
          <c:overlay val="0"/>
        </c:title>
        <c:numFmt formatCode="0" sourceLinked="1"/>
        <c:majorTickMark val="out"/>
        <c:minorTickMark val="none"/>
        <c:tickLblPos val="nextTo"/>
        <c:crossAx val="-21351177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Quantities!$A$115</c:f>
              <c:strCache>
                <c:ptCount val="1"/>
                <c:pt idx="0">
                  <c:v>Total Heating (kWh)</c:v>
                </c:pt>
              </c:strCache>
            </c:strRef>
          </c:tx>
          <c:invertIfNegative val="0"/>
          <c:cat>
            <c:numRef>
              <c:f>Quantities!$B$114:$J$114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Quantities!$B$115:$J$115</c:f>
              <c:numCache>
                <c:formatCode>_ * #,##0_)\ _€_ ;_ * \(#,##0\)\ _€_ ;_ * "-"??_)\ _€_ ;_ @_ </c:formatCode>
                <c:ptCount val="9"/>
                <c:pt idx="0">
                  <c:v>6933.333333333333</c:v>
                </c:pt>
                <c:pt idx="1">
                  <c:v>32560</c:v>
                </c:pt>
                <c:pt idx="2">
                  <c:v>30420.799999999999</c:v>
                </c:pt>
                <c:pt idx="3">
                  <c:v>31994.400000000001</c:v>
                </c:pt>
                <c:pt idx="4">
                  <c:v>30603.333333333332</c:v>
                </c:pt>
                <c:pt idx="5">
                  <c:v>35607</c:v>
                </c:pt>
                <c:pt idx="6">
                  <c:v>31982.466666666664</c:v>
                </c:pt>
                <c:pt idx="7">
                  <c:v>26976.925000000003</c:v>
                </c:pt>
                <c:pt idx="8">
                  <c:v>28043.949545454547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9-BB47-AC80-9DCA9E18BEF8}"/>
            </c:ext>
          </c:extLst>
        </c:ser>
        <c:ser>
          <c:idx val="1"/>
          <c:order val="1"/>
          <c:tx>
            <c:strRef>
              <c:f>Quantities!$A$118</c:f>
              <c:strCache>
                <c:ptCount val="1"/>
                <c:pt idx="0">
                  <c:v>Total Electricity (kWh)</c:v>
                </c:pt>
              </c:strCache>
            </c:strRef>
          </c:tx>
          <c:invertIfNegative val="0"/>
          <c:cat>
            <c:numRef>
              <c:f>Quantities!$B$114:$J$114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Quantities!$B$118:$J$118</c:f>
              <c:numCache>
                <c:formatCode>_ * #,##0_)\ _€_ ;_ * \(#,##0\)\ _€_ ;_ * "-"??_)\ _€_ ;_ @_ </c:formatCode>
                <c:ptCount val="9"/>
                <c:pt idx="0">
                  <c:v>709</c:v>
                </c:pt>
                <c:pt idx="1">
                  <c:v>6011</c:v>
                </c:pt>
                <c:pt idx="2">
                  <c:v>7890.25</c:v>
                </c:pt>
                <c:pt idx="3">
                  <c:v>8080.022727272727</c:v>
                </c:pt>
                <c:pt idx="4">
                  <c:v>8197.3939393939399</c:v>
                </c:pt>
                <c:pt idx="5">
                  <c:v>6987.0256410256407</c:v>
                </c:pt>
                <c:pt idx="6">
                  <c:v>7237.707692307692</c:v>
                </c:pt>
                <c:pt idx="7">
                  <c:v>7436.8727272727265</c:v>
                </c:pt>
                <c:pt idx="8">
                  <c:v>8181.4772727272721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09-BB47-AC80-9DCA9E18B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91448824"/>
        <c:axId val="-2135691160"/>
      </c:barChart>
      <c:catAx>
        <c:axId val="-2091448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5691160"/>
        <c:crosses val="autoZero"/>
        <c:auto val="1"/>
        <c:lblAlgn val="ctr"/>
        <c:lblOffset val="100"/>
        <c:noMultiLvlLbl val="0"/>
      </c:catAx>
      <c:valAx>
        <c:axId val="-2135691160"/>
        <c:scaling>
          <c:orientation val="minMax"/>
        </c:scaling>
        <c:delete val="0"/>
        <c:axPos val="l"/>
        <c:majorGridlines/>
        <c:numFmt formatCode="_ * #,##0_)\ _€_ ;_ * \(#,##0\)\ _€_ ;_ * &quot;-&quot;??_)\ _€_ ;_ @_ " sourceLinked="1"/>
        <c:majorTickMark val="out"/>
        <c:minorTickMark val="none"/>
        <c:tickLblPos val="nextTo"/>
        <c:crossAx val="-2091448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Quantities!$A$110</c:f>
              <c:strCache>
                <c:ptCount val="1"/>
                <c:pt idx="0">
                  <c:v>Electricity - Day tarif (kWh)</c:v>
                </c:pt>
              </c:strCache>
            </c:strRef>
          </c:tx>
          <c:invertIfNegative val="0"/>
          <c:cat>
            <c:numRef>
              <c:f>Quantities!$B$102:$J$102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Quantities!$B$110:$J$110</c:f>
              <c:numCache>
                <c:formatCode>_ * #,##0_)\ _€_ ;_ * \(#,##0\)\ _€_ ;_ * "-"??_)\ _€_ ;_ @_ </c:formatCode>
                <c:ptCount val="9"/>
                <c:pt idx="0">
                  <c:v>376</c:v>
                </c:pt>
                <c:pt idx="1">
                  <c:v>2358</c:v>
                </c:pt>
                <c:pt idx="2">
                  <c:v>2740</c:v>
                </c:pt>
                <c:pt idx="3">
                  <c:v>2835.4545454545455</c:v>
                </c:pt>
                <c:pt idx="4">
                  <c:v>2795.212121212121</c:v>
                </c:pt>
                <c:pt idx="5">
                  <c:v>2233.3333333333335</c:v>
                </c:pt>
                <c:pt idx="6">
                  <c:v>2234.8000000000002</c:v>
                </c:pt>
                <c:pt idx="7">
                  <c:v>2313.3818181818183</c:v>
                </c:pt>
                <c:pt idx="8">
                  <c:v>2794.568181818182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F-054C-9D36-877D44407451}"/>
            </c:ext>
          </c:extLst>
        </c:ser>
        <c:ser>
          <c:idx val="1"/>
          <c:order val="1"/>
          <c:tx>
            <c:strRef>
              <c:f>Quantities!$A$111</c:f>
              <c:strCache>
                <c:ptCount val="1"/>
                <c:pt idx="0">
                  <c:v>Electricity - Night &amp; WE tarif (kWh)</c:v>
                </c:pt>
              </c:strCache>
            </c:strRef>
          </c:tx>
          <c:invertIfNegative val="0"/>
          <c:cat>
            <c:numRef>
              <c:f>Quantities!$B$102:$J$102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Quantities!$B$111:$J$111</c:f>
              <c:numCache>
                <c:formatCode>_ * #,##0_)\ _€_ ;_ * \(#,##0\)\ _€_ ;_ * "-"??_)\ _€_ ;_ @_ </c:formatCode>
                <c:ptCount val="9"/>
                <c:pt idx="0">
                  <c:v>333</c:v>
                </c:pt>
                <c:pt idx="1">
                  <c:v>3653</c:v>
                </c:pt>
                <c:pt idx="2">
                  <c:v>5150.25</c:v>
                </c:pt>
                <c:pt idx="3">
                  <c:v>5244.568181818182</c:v>
                </c:pt>
                <c:pt idx="4">
                  <c:v>5402.181818181818</c:v>
                </c:pt>
                <c:pt idx="5">
                  <c:v>4753.6923076923076</c:v>
                </c:pt>
                <c:pt idx="6">
                  <c:v>5002.9076923076927</c:v>
                </c:pt>
                <c:pt idx="7">
                  <c:v>5123.4909090909096</c:v>
                </c:pt>
                <c:pt idx="8">
                  <c:v>5386.909090909091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2F-054C-9D36-877D44407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4300856"/>
        <c:axId val="-2134297880"/>
      </c:barChart>
      <c:catAx>
        <c:axId val="-2134300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4297880"/>
        <c:crosses val="autoZero"/>
        <c:auto val="1"/>
        <c:lblAlgn val="ctr"/>
        <c:lblOffset val="100"/>
        <c:noMultiLvlLbl val="0"/>
      </c:catAx>
      <c:valAx>
        <c:axId val="-2134297880"/>
        <c:scaling>
          <c:orientation val="minMax"/>
        </c:scaling>
        <c:delete val="0"/>
        <c:axPos val="l"/>
        <c:majorGridlines/>
        <c:numFmt formatCode="_ * #,##0_)\ _€_ ;_ * \(#,##0\)\ _€_ ;_ * &quot;-&quot;??_)\ _€_ ;_ @_ " sourceLinked="1"/>
        <c:majorTickMark val="out"/>
        <c:minorTickMark val="none"/>
        <c:tickLblPos val="nextTo"/>
        <c:crossAx val="-2134300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Quantities!$A$117</c:f>
              <c:strCache>
                <c:ptCount val="1"/>
                <c:pt idx="0">
                  <c:v>Total Heating normalized (kWh)</c:v>
                </c:pt>
              </c:strCache>
            </c:strRef>
          </c:tx>
          <c:invertIfNegative val="0"/>
          <c:cat>
            <c:numRef>
              <c:f>Quantities!$B$114:$J$114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Quantities!$B$117:$J$117</c:f>
              <c:numCache>
                <c:formatCode>_ * #,##0_)\ _€_ ;_ * \(#,##0\)\ _€_ ;_ * "-"??_)\ _€_ ;_ @_ </c:formatCode>
                <c:ptCount val="9"/>
                <c:pt idx="0">
                  <c:v>6051.3966480446925</c:v>
                </c:pt>
                <c:pt idx="1">
                  <c:v>26065.967678360266</c:v>
                </c:pt>
                <c:pt idx="2">
                  <c:v>33799.039824945292</c:v>
                </c:pt>
                <c:pt idx="3">
                  <c:v>30767.342045454548</c:v>
                </c:pt>
                <c:pt idx="4">
                  <c:v>26676.124463519314</c:v>
                </c:pt>
                <c:pt idx="5">
                  <c:v>33558.151740139212</c:v>
                </c:pt>
                <c:pt idx="6">
                  <c:v>31064.748828311811</c:v>
                </c:pt>
                <c:pt idx="7">
                  <c:v>26392.165065028905</c:v>
                </c:pt>
                <c:pt idx="8">
                  <c:v>30507.370930272195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F-C34E-B69D-CA07E27D71C6}"/>
            </c:ext>
          </c:extLst>
        </c:ser>
        <c:ser>
          <c:idx val="1"/>
          <c:order val="1"/>
          <c:tx>
            <c:strRef>
              <c:f>Quantities!$A$118</c:f>
              <c:strCache>
                <c:ptCount val="1"/>
                <c:pt idx="0">
                  <c:v>Total Electricity (kWh)</c:v>
                </c:pt>
              </c:strCache>
            </c:strRef>
          </c:tx>
          <c:invertIfNegative val="0"/>
          <c:cat>
            <c:numRef>
              <c:f>Quantities!$B$114:$J$114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Quantities!$B$118:$J$118</c:f>
              <c:numCache>
                <c:formatCode>_ * #,##0_)\ _€_ ;_ * \(#,##0\)\ _€_ ;_ * "-"??_)\ _€_ ;_ @_ </c:formatCode>
                <c:ptCount val="9"/>
                <c:pt idx="0">
                  <c:v>709</c:v>
                </c:pt>
                <c:pt idx="1">
                  <c:v>6011</c:v>
                </c:pt>
                <c:pt idx="2">
                  <c:v>7890.25</c:v>
                </c:pt>
                <c:pt idx="3">
                  <c:v>8080.022727272727</c:v>
                </c:pt>
                <c:pt idx="4">
                  <c:v>8197.3939393939399</c:v>
                </c:pt>
                <c:pt idx="5">
                  <c:v>6987.0256410256407</c:v>
                </c:pt>
                <c:pt idx="6">
                  <c:v>7237.707692307692</c:v>
                </c:pt>
                <c:pt idx="7">
                  <c:v>7436.8727272727265</c:v>
                </c:pt>
                <c:pt idx="8">
                  <c:v>8181.4772727272721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F-C34E-B69D-CA07E27D7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91448824"/>
        <c:axId val="-2135691160"/>
      </c:barChart>
      <c:catAx>
        <c:axId val="-2091448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5691160"/>
        <c:crosses val="autoZero"/>
        <c:auto val="1"/>
        <c:lblAlgn val="ctr"/>
        <c:lblOffset val="100"/>
        <c:noMultiLvlLbl val="0"/>
      </c:catAx>
      <c:valAx>
        <c:axId val="-2135691160"/>
        <c:scaling>
          <c:orientation val="minMax"/>
        </c:scaling>
        <c:delete val="0"/>
        <c:axPos val="l"/>
        <c:majorGridlines/>
        <c:numFmt formatCode="_ * #,##0_)\ _€_ ;_ * \(#,##0\)\ _€_ ;_ * &quot;-&quot;??_)\ _€_ ;_ @_ " sourceLinked="1"/>
        <c:majorTickMark val="out"/>
        <c:minorTickMark val="none"/>
        <c:tickLblPos val="nextTo"/>
        <c:crossAx val="-2091448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86360</xdr:colOff>
      <xdr:row>88</xdr:row>
      <xdr:rowOff>50800</xdr:rowOff>
    </xdr:from>
    <xdr:to>
      <xdr:col>15</xdr:col>
      <xdr:colOff>60960</xdr:colOff>
      <xdr:row>110</xdr:row>
      <xdr:rowOff>167640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619760</xdr:colOff>
      <xdr:row>88</xdr:row>
      <xdr:rowOff>30480</xdr:rowOff>
    </xdr:from>
    <xdr:to>
      <xdr:col>7</xdr:col>
      <xdr:colOff>401320</xdr:colOff>
      <xdr:row>110</xdr:row>
      <xdr:rowOff>147320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650240</xdr:colOff>
      <xdr:row>112</xdr:row>
      <xdr:rowOff>10160</xdr:rowOff>
    </xdr:from>
    <xdr:to>
      <xdr:col>7</xdr:col>
      <xdr:colOff>431800</xdr:colOff>
      <xdr:row>134</xdr:row>
      <xdr:rowOff>127000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269240</xdr:colOff>
      <xdr:row>123</xdr:row>
      <xdr:rowOff>111760</xdr:rowOff>
    </xdr:from>
    <xdr:to>
      <xdr:col>5</xdr:col>
      <xdr:colOff>589280</xdr:colOff>
      <xdr:row>144</xdr:row>
      <xdr:rowOff>86360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868680</xdr:colOff>
      <xdr:row>145</xdr:row>
      <xdr:rowOff>116840</xdr:rowOff>
    </xdr:from>
    <xdr:to>
      <xdr:col>10</xdr:col>
      <xdr:colOff>304800</xdr:colOff>
      <xdr:row>159</xdr:row>
      <xdr:rowOff>157480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711200</xdr:colOff>
      <xdr:row>123</xdr:row>
      <xdr:rowOff>101600</xdr:rowOff>
    </xdr:from>
    <xdr:to>
      <xdr:col>13</xdr:col>
      <xdr:colOff>218440</xdr:colOff>
      <xdr:row>144</xdr:row>
      <xdr:rowOff>76200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BF6F418-18F1-E74A-AD30-22950C6D54D2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x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tabSelected="1" zoomScale="126" zoomScaleNormal="125" zoomScalePageLayoutView="125" workbookViewId="0">
      <selection activeCell="A76" sqref="A76"/>
    </sheetView>
  </sheetViews>
  <sheetFormatPr defaultColWidth="11" defaultRowHeight="15.95"/>
  <cols>
    <col min="1" max="2" width="24.125" customWidth="1"/>
    <col min="3" max="10" width="11.375" bestFit="1" customWidth="1"/>
    <col min="11" max="11" width="12.375" bestFit="1" customWidth="1"/>
    <col min="13" max="13" width="17" bestFit="1" customWidth="1"/>
    <col min="14" max="14" width="17.5" bestFit="1" customWidth="1"/>
  </cols>
  <sheetData>
    <row r="1" spans="1:15">
      <c r="A1">
        <v>2012</v>
      </c>
    </row>
    <row r="2" spans="1:15"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</row>
    <row r="3" spans="1:15">
      <c r="A3" t="s">
        <v>13</v>
      </c>
      <c r="O3">
        <f>SUM(C3:N3)</f>
        <v>0</v>
      </c>
    </row>
    <row r="4" spans="1:15">
      <c r="A4" t="s">
        <v>14</v>
      </c>
      <c r="L4">
        <v>1739.74</v>
      </c>
      <c r="O4">
        <f t="shared" ref="O4:O7" si="0">SUM(C4:N4)</f>
        <v>1739.74</v>
      </c>
    </row>
    <row r="5" spans="1:15">
      <c r="A5" t="s">
        <v>15</v>
      </c>
      <c r="O5">
        <f t="shared" si="0"/>
        <v>0</v>
      </c>
    </row>
    <row r="6" spans="1:15">
      <c r="A6" t="s">
        <v>16</v>
      </c>
      <c r="M6" s="1"/>
      <c r="N6" s="1"/>
      <c r="O6">
        <f>E13*2/5</f>
        <v>122.21600000000001</v>
      </c>
    </row>
    <row r="7" spans="1:15">
      <c r="A7" t="s">
        <v>17</v>
      </c>
      <c r="L7">
        <v>200</v>
      </c>
      <c r="O7">
        <f t="shared" si="0"/>
        <v>200</v>
      </c>
    </row>
    <row r="8" spans="1:15">
      <c r="A8">
        <v>2013</v>
      </c>
    </row>
    <row r="9" spans="1:15">
      <c r="C9" t="s">
        <v>0</v>
      </c>
      <c r="D9" t="s">
        <v>1</v>
      </c>
      <c r="E9" t="s">
        <v>2</v>
      </c>
      <c r="F9" t="s">
        <v>3</v>
      </c>
      <c r="G9" t="s">
        <v>4</v>
      </c>
      <c r="H9" t="s">
        <v>5</v>
      </c>
      <c r="I9" t="s">
        <v>6</v>
      </c>
      <c r="J9" t="s">
        <v>7</v>
      </c>
      <c r="K9" t="s">
        <v>8</v>
      </c>
      <c r="L9" t="s">
        <v>9</v>
      </c>
      <c r="M9" t="s">
        <v>10</v>
      </c>
      <c r="N9" t="s">
        <v>11</v>
      </c>
      <c r="O9" t="s">
        <v>12</v>
      </c>
    </row>
    <row r="10" spans="1:15">
      <c r="A10" t="s">
        <v>13</v>
      </c>
      <c r="E10">
        <v>322</v>
      </c>
      <c r="L10">
        <v>339.5</v>
      </c>
      <c r="N10">
        <v>270</v>
      </c>
      <c r="O10">
        <f>E10+L10+N10*1/3</f>
        <v>751.5</v>
      </c>
    </row>
    <row r="11" spans="1:15">
      <c r="A11" t="s">
        <v>14</v>
      </c>
      <c r="C11">
        <v>1718.2</v>
      </c>
      <c r="O11">
        <f>SUM(C11:N11)</f>
        <v>1718.2</v>
      </c>
    </row>
    <row r="12" spans="1:15">
      <c r="A12" t="s">
        <v>15</v>
      </c>
      <c r="O12">
        <f t="shared" ref="O12" si="1">SUM(C12:N12)</f>
        <v>0</v>
      </c>
    </row>
    <row r="13" spans="1:15">
      <c r="A13" t="s">
        <v>16</v>
      </c>
      <c r="C13" s="1"/>
      <c r="D13" s="1"/>
      <c r="E13" s="1">
        <v>305.54000000000002</v>
      </c>
      <c r="F13" s="2"/>
      <c r="G13" s="2"/>
      <c r="H13" s="2"/>
      <c r="I13" s="2"/>
      <c r="J13" s="2"/>
      <c r="K13" s="2"/>
      <c r="L13" s="2"/>
      <c r="M13" s="2">
        <v>925.04</v>
      </c>
      <c r="N13" s="3">
        <v>202.99</v>
      </c>
      <c r="O13">
        <f>E13*3/5+SUM(F13:N13)</f>
        <v>1311.354</v>
      </c>
    </row>
    <row r="14" spans="1:15">
      <c r="A14" t="s">
        <v>17</v>
      </c>
      <c r="C14">
        <v>110</v>
      </c>
      <c r="M14">
        <v>140</v>
      </c>
      <c r="N14">
        <v>196.1</v>
      </c>
      <c r="O14">
        <f t="shared" ref="O14" si="2">SUM(C14:N14)</f>
        <v>446.1</v>
      </c>
    </row>
    <row r="15" spans="1:15">
      <c r="A15">
        <v>2014</v>
      </c>
    </row>
    <row r="16" spans="1:15">
      <c r="C16" t="s">
        <v>0</v>
      </c>
      <c r="D16" t="s">
        <v>1</v>
      </c>
      <c r="E16" t="s">
        <v>2</v>
      </c>
      <c r="F16" t="s">
        <v>3</v>
      </c>
      <c r="G16" t="s">
        <v>4</v>
      </c>
      <c r="H16" t="s">
        <v>5</v>
      </c>
      <c r="I16" t="s">
        <v>6</v>
      </c>
      <c r="J16" t="s">
        <v>7</v>
      </c>
      <c r="K16" t="s">
        <v>8</v>
      </c>
      <c r="L16" t="s">
        <v>9</v>
      </c>
      <c r="M16" t="s">
        <v>10</v>
      </c>
      <c r="N16" t="s">
        <v>11</v>
      </c>
      <c r="O16" t="s">
        <v>12</v>
      </c>
    </row>
    <row r="17" spans="1:15">
      <c r="A17" t="s">
        <v>13</v>
      </c>
      <c r="E17">
        <v>260</v>
      </c>
      <c r="M17">
        <v>47</v>
      </c>
      <c r="N17">
        <v>255</v>
      </c>
      <c r="O17">
        <f>N10*2/3+E17+M17+N17</f>
        <v>742</v>
      </c>
    </row>
    <row r="18" spans="1:15">
      <c r="A18" t="s">
        <v>14</v>
      </c>
      <c r="D18">
        <v>1591.93</v>
      </c>
      <c r="O18">
        <f>SUM(C18:N18)</f>
        <v>1591.93</v>
      </c>
    </row>
    <row r="19" spans="1:15">
      <c r="A19" t="s">
        <v>15</v>
      </c>
      <c r="O19">
        <f t="shared" ref="O19:O21" si="3">SUM(C19:N19)</f>
        <v>0</v>
      </c>
    </row>
    <row r="20" spans="1:15">
      <c r="A20" t="s">
        <v>16</v>
      </c>
      <c r="C20" s="4"/>
      <c r="D20" s="4"/>
      <c r="E20" s="4">
        <v>420.61</v>
      </c>
      <c r="F20" s="5"/>
      <c r="G20" s="5"/>
      <c r="H20" s="5"/>
      <c r="I20" s="5"/>
      <c r="J20" s="5"/>
      <c r="K20" s="5"/>
      <c r="L20" s="5"/>
      <c r="M20" s="5"/>
      <c r="N20" s="5"/>
      <c r="O20">
        <f>SUM(C20:N20)+E27*9/12</f>
        <v>1628.7249999999999</v>
      </c>
    </row>
    <row r="21" spans="1:15">
      <c r="A21" t="s">
        <v>17</v>
      </c>
      <c r="N21">
        <v>120</v>
      </c>
      <c r="O21">
        <f t="shared" si="3"/>
        <v>120</v>
      </c>
    </row>
    <row r="22" spans="1:15">
      <c r="A22">
        <v>2015</v>
      </c>
      <c r="N22">
        <v>190.8</v>
      </c>
    </row>
    <row r="23" spans="1:15">
      <c r="C23" t="s">
        <v>0</v>
      </c>
      <c r="D23" t="s">
        <v>1</v>
      </c>
      <c r="E23" t="s">
        <v>2</v>
      </c>
      <c r="F23" t="s">
        <v>3</v>
      </c>
      <c r="G23" t="s">
        <v>4</v>
      </c>
      <c r="H23" t="s">
        <v>5</v>
      </c>
      <c r="I23" t="s">
        <v>6</v>
      </c>
      <c r="J23" t="s">
        <v>7</v>
      </c>
      <c r="K23" t="s">
        <v>8</v>
      </c>
      <c r="L23" t="s">
        <v>9</v>
      </c>
      <c r="M23" t="s">
        <v>10</v>
      </c>
      <c r="N23" t="s">
        <v>11</v>
      </c>
      <c r="O23" t="s">
        <v>12</v>
      </c>
    </row>
    <row r="24" spans="1:15">
      <c r="A24" t="s">
        <v>13</v>
      </c>
      <c r="C24">
        <v>245</v>
      </c>
      <c r="E24">
        <v>92</v>
      </c>
      <c r="F24">
        <v>46</v>
      </c>
      <c r="L24">
        <f>22.14+269</f>
        <v>291.14</v>
      </c>
      <c r="O24">
        <f>C24+E24+F24+L24</f>
        <v>674.14</v>
      </c>
    </row>
    <row r="25" spans="1:15">
      <c r="A25" t="s">
        <v>14</v>
      </c>
      <c r="O25">
        <f t="shared" ref="O25:O26" si="4">SUM(C25:N25)</f>
        <v>0</v>
      </c>
    </row>
    <row r="26" spans="1:15">
      <c r="A26" t="s">
        <v>15</v>
      </c>
      <c r="O26">
        <f t="shared" si="4"/>
        <v>0</v>
      </c>
    </row>
    <row r="27" spans="1:15">
      <c r="A27" t="s">
        <v>16</v>
      </c>
      <c r="C27" s="5"/>
      <c r="D27" s="5"/>
      <c r="E27" s="5">
        <f>1602.82+8</f>
        <v>1610.82</v>
      </c>
      <c r="F27" s="6"/>
      <c r="G27" s="6"/>
      <c r="H27" s="6"/>
      <c r="I27" s="6"/>
      <c r="J27" s="6"/>
      <c r="K27" s="6"/>
      <c r="L27" s="6"/>
      <c r="M27" s="6"/>
      <c r="N27" s="6"/>
      <c r="O27">
        <f>E27*3/12+D34*9/11</f>
        <v>1808.9059090909091</v>
      </c>
    </row>
    <row r="28" spans="1:15">
      <c r="A28" t="s">
        <v>17</v>
      </c>
      <c r="C28">
        <f>140+100.7</f>
        <v>240.7</v>
      </c>
      <c r="O28">
        <f>C28</f>
        <v>240.7</v>
      </c>
    </row>
    <row r="29" spans="1:15">
      <c r="A29">
        <v>2016</v>
      </c>
    </row>
    <row r="30" spans="1:15">
      <c r="C30" t="s">
        <v>0</v>
      </c>
      <c r="D30" t="s">
        <v>1</v>
      </c>
      <c r="E30" t="s">
        <v>2</v>
      </c>
      <c r="F30" t="s">
        <v>3</v>
      </c>
      <c r="G30" t="s">
        <v>4</v>
      </c>
      <c r="H30" t="s">
        <v>5</v>
      </c>
      <c r="I30" t="s">
        <v>6</v>
      </c>
      <c r="J30" t="s">
        <v>7</v>
      </c>
      <c r="K30" t="s">
        <v>8</v>
      </c>
      <c r="L30" t="s">
        <v>9</v>
      </c>
      <c r="M30" t="s">
        <v>10</v>
      </c>
      <c r="N30" t="s">
        <v>11</v>
      </c>
      <c r="O30" t="s">
        <v>12</v>
      </c>
    </row>
    <row r="31" spans="1:15">
      <c r="A31" t="s">
        <v>13</v>
      </c>
      <c r="C31">
        <v>312</v>
      </c>
      <c r="E31">
        <v>66</v>
      </c>
      <c r="F31">
        <v>74.8</v>
      </c>
      <c r="K31">
        <v>54.5</v>
      </c>
      <c r="L31">
        <v>273</v>
      </c>
      <c r="O31">
        <f>C31+E31+F31+K31+L31*3/4</f>
        <v>712.05</v>
      </c>
    </row>
    <row r="32" spans="1:15">
      <c r="A32" t="s">
        <v>14</v>
      </c>
      <c r="O32">
        <f t="shared" ref="O32:O35" si="5">SUM(C32:N32)</f>
        <v>0</v>
      </c>
    </row>
    <row r="33" spans="1:15">
      <c r="A33" t="s">
        <v>15</v>
      </c>
      <c r="F33" s="2"/>
      <c r="G33" s="2"/>
      <c r="H33" s="2"/>
      <c r="I33" s="2"/>
      <c r="J33" s="2"/>
      <c r="K33" s="2"/>
      <c r="L33" s="2"/>
      <c r="M33" s="2"/>
      <c r="N33" s="2"/>
      <c r="O33">
        <f>F40*3/6</f>
        <v>600.48500000000001</v>
      </c>
    </row>
    <row r="34" spans="1:15">
      <c r="A34" t="s">
        <v>16</v>
      </c>
      <c r="C34" s="6"/>
      <c r="D34" s="6">
        <v>1718.69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>
        <f>D34*2/11+D41*10/12</f>
        <v>2031.5057575757576</v>
      </c>
    </row>
    <row r="35" spans="1:15">
      <c r="A35" t="s">
        <v>17</v>
      </c>
      <c r="E35">
        <f>70+140</f>
        <v>210</v>
      </c>
      <c r="O35">
        <f t="shared" si="5"/>
        <v>210</v>
      </c>
    </row>
    <row r="36" spans="1:15">
      <c r="A36">
        <v>2017</v>
      </c>
    </row>
    <row r="37" spans="1:15">
      <c r="C37" t="s">
        <v>0</v>
      </c>
      <c r="D37" t="s">
        <v>1</v>
      </c>
      <c r="E37" t="s">
        <v>2</v>
      </c>
      <c r="F37" t="s">
        <v>3</v>
      </c>
      <c r="G37" t="s">
        <v>4</v>
      </c>
      <c r="H37" t="s">
        <v>5</v>
      </c>
      <c r="I37" t="s">
        <v>6</v>
      </c>
      <c r="J37" t="s">
        <v>7</v>
      </c>
      <c r="K37" t="s">
        <v>8</v>
      </c>
      <c r="L37" t="s">
        <v>9</v>
      </c>
      <c r="M37" t="s">
        <v>10</v>
      </c>
      <c r="N37" t="s">
        <v>11</v>
      </c>
      <c r="O37" t="s">
        <v>12</v>
      </c>
    </row>
    <row r="38" spans="1:15">
      <c r="A38" t="s">
        <v>13</v>
      </c>
      <c r="D38">
        <v>292.5</v>
      </c>
      <c r="N38">
        <v>325</v>
      </c>
      <c r="O38">
        <f>L31*1/4+D38+N38*1/6</f>
        <v>414.91666666666669</v>
      </c>
    </row>
    <row r="39" spans="1:15">
      <c r="A39" t="s">
        <v>14</v>
      </c>
      <c r="O39">
        <f t="shared" ref="O39:O42" si="6">SUM(C39:N39)</f>
        <v>0</v>
      </c>
    </row>
    <row r="40" spans="1:15">
      <c r="A40" t="s">
        <v>15</v>
      </c>
      <c r="C40" s="2"/>
      <c r="D40" s="2"/>
      <c r="E40" s="2"/>
      <c r="F40" s="2">
        <v>1200.97</v>
      </c>
      <c r="G40" s="1"/>
      <c r="H40" s="1"/>
      <c r="I40" s="1"/>
      <c r="J40" s="1"/>
      <c r="K40" s="1"/>
      <c r="L40" s="1"/>
      <c r="M40" s="1"/>
      <c r="N40" s="1"/>
      <c r="O40">
        <f>F40*3/6+F47*3/6</f>
        <v>1346.3400000000001</v>
      </c>
    </row>
    <row r="41" spans="1:15">
      <c r="A41" t="s">
        <v>16</v>
      </c>
      <c r="C41" s="2"/>
      <c r="D41" s="2">
        <v>2062.8200000000002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>
        <f>D41*2/12+E48*10/13</f>
        <v>1801.7648717948719</v>
      </c>
    </row>
    <row r="42" spans="1:15">
      <c r="A42" t="s">
        <v>17</v>
      </c>
      <c r="E42">
        <v>70</v>
      </c>
      <c r="K42">
        <v>120</v>
      </c>
      <c r="O42">
        <f t="shared" si="6"/>
        <v>190</v>
      </c>
    </row>
    <row r="43" spans="1:15">
      <c r="A43">
        <v>2018</v>
      </c>
    </row>
    <row r="44" spans="1:15">
      <c r="C44" t="s">
        <v>0</v>
      </c>
      <c r="D44" t="s">
        <v>1</v>
      </c>
      <c r="E44" t="s">
        <v>2</v>
      </c>
      <c r="F44" t="s">
        <v>3</v>
      </c>
      <c r="G44" t="s">
        <v>4</v>
      </c>
      <c r="H44" t="s">
        <v>5</v>
      </c>
      <c r="I44" t="s">
        <v>6</v>
      </c>
      <c r="J44" t="s">
        <v>7</v>
      </c>
      <c r="K44" t="s">
        <v>8</v>
      </c>
      <c r="L44" t="s">
        <v>9</v>
      </c>
      <c r="M44" t="s">
        <v>10</v>
      </c>
      <c r="N44" t="s">
        <v>11</v>
      </c>
      <c r="O44" t="s">
        <v>12</v>
      </c>
    </row>
    <row r="45" spans="1:15">
      <c r="A45" t="s">
        <v>13</v>
      </c>
      <c r="N45">
        <v>325</v>
      </c>
      <c r="O45">
        <f>N38*5/6+N45*1/5</f>
        <v>335.83333333333331</v>
      </c>
    </row>
    <row r="46" spans="1:15">
      <c r="A46" t="s">
        <v>14</v>
      </c>
      <c r="O46">
        <f t="shared" ref="O46:O49" si="7">SUM(C46:N46)</f>
        <v>0</v>
      </c>
    </row>
    <row r="47" spans="1:15">
      <c r="A47" t="s">
        <v>15</v>
      </c>
      <c r="C47" s="1"/>
      <c r="D47" s="1"/>
      <c r="E47" s="1"/>
      <c r="F47" s="1">
        <v>1491.71</v>
      </c>
      <c r="G47">
        <v>146.85</v>
      </c>
      <c r="H47">
        <v>146.85</v>
      </c>
      <c r="I47">
        <v>146.85</v>
      </c>
      <c r="J47">
        <v>146.85</v>
      </c>
      <c r="K47">
        <v>146.85</v>
      </c>
      <c r="L47">
        <v>147.41</v>
      </c>
      <c r="M47">
        <v>146.85</v>
      </c>
      <c r="N47" s="6"/>
      <c r="O47">
        <f>F47*3/6+SUM(G47:M47)+F54*1/5</f>
        <v>1967.0332000000001</v>
      </c>
    </row>
    <row r="48" spans="1:15">
      <c r="A48" t="s">
        <v>16</v>
      </c>
      <c r="C48" s="1"/>
      <c r="D48" s="1"/>
      <c r="E48" s="1">
        <f>1872.35+23</f>
        <v>1895.35</v>
      </c>
      <c r="F48" s="3"/>
      <c r="G48" s="3"/>
      <c r="H48" s="3"/>
      <c r="I48" s="3"/>
      <c r="J48" s="3"/>
      <c r="K48" s="3"/>
      <c r="L48" s="3"/>
      <c r="M48" s="3">
        <f>1304.7</f>
        <v>1304.7</v>
      </c>
      <c r="N48" s="6"/>
      <c r="O48">
        <f>E48*3/13+M48+F55*1/5</f>
        <v>1860.6281615384617</v>
      </c>
    </row>
    <row r="49" spans="1:15">
      <c r="A49" t="s">
        <v>17</v>
      </c>
      <c r="E49">
        <v>60</v>
      </c>
      <c r="O49">
        <f t="shared" si="7"/>
        <v>60</v>
      </c>
    </row>
    <row r="50" spans="1:15">
      <c r="A50">
        <v>2019</v>
      </c>
    </row>
    <row r="51" spans="1:15">
      <c r="C51" t="s">
        <v>0</v>
      </c>
      <c r="D51" t="s">
        <v>1</v>
      </c>
      <c r="E51" t="s">
        <v>2</v>
      </c>
      <c r="F51" t="s">
        <v>3</v>
      </c>
      <c r="G51" t="s">
        <v>4</v>
      </c>
      <c r="H51" t="s">
        <v>5</v>
      </c>
      <c r="I51" t="s">
        <v>6</v>
      </c>
      <c r="J51" t="s">
        <v>7</v>
      </c>
      <c r="K51" t="s">
        <v>8</v>
      </c>
      <c r="L51" t="s">
        <v>9</v>
      </c>
      <c r="M51" t="s">
        <v>10</v>
      </c>
      <c r="N51" t="s">
        <v>11</v>
      </c>
      <c r="O51" t="s">
        <v>12</v>
      </c>
    </row>
    <row r="52" spans="1:15">
      <c r="A52" t="s">
        <v>13</v>
      </c>
      <c r="M52">
        <v>325</v>
      </c>
      <c r="O52">
        <f>N45*4/5+M52*2/5</f>
        <v>390</v>
      </c>
    </row>
    <row r="53" spans="1:15">
      <c r="A53" t="s">
        <v>14</v>
      </c>
      <c r="O53">
        <f t="shared" ref="O53" si="8">SUM(C53:N53)</f>
        <v>0</v>
      </c>
    </row>
    <row r="54" spans="1:15">
      <c r="A54" t="s">
        <v>15</v>
      </c>
      <c r="C54" s="6"/>
      <c r="D54" s="6"/>
      <c r="E54" s="6"/>
      <c r="F54" s="6">
        <f>(133.2+(131.62*21%))*5+159.14</f>
        <v>963.34099999999989</v>
      </c>
      <c r="G54" s="4"/>
      <c r="H54" s="4"/>
      <c r="I54" s="4"/>
      <c r="J54" s="4"/>
      <c r="K54" s="4"/>
      <c r="L54" s="4"/>
      <c r="M54" s="4"/>
      <c r="N54" s="4"/>
      <c r="O54">
        <f>F54*4/5+E62*3/6</f>
        <v>1360.4627999999998</v>
      </c>
    </row>
    <row r="55" spans="1:15">
      <c r="A55" t="s">
        <v>16</v>
      </c>
      <c r="C55" s="6"/>
      <c r="D55" s="6"/>
      <c r="E55" s="6"/>
      <c r="F55" s="6">
        <f>(121.15+(118.57*21%))*5-137.55</f>
        <v>592.69849999999997</v>
      </c>
      <c r="G55" s="4"/>
      <c r="H55" s="4"/>
      <c r="I55" s="4"/>
      <c r="J55" s="4"/>
      <c r="K55" s="4"/>
      <c r="L55" s="4"/>
      <c r="M55" s="4"/>
      <c r="N55" s="4"/>
      <c r="O55">
        <f>F55*4/5+E63*8/11</f>
        <v>1889.8678909090909</v>
      </c>
    </row>
    <row r="56" spans="1:15">
      <c r="A56" t="s">
        <v>17</v>
      </c>
      <c r="M56">
        <f>55.75+120</f>
        <v>175.75</v>
      </c>
    </row>
    <row r="58" spans="1:15">
      <c r="A58">
        <v>2020</v>
      </c>
    </row>
    <row r="59" spans="1:15">
      <c r="C59" t="s">
        <v>0</v>
      </c>
      <c r="D59" t="s">
        <v>1</v>
      </c>
      <c r="E59" t="s">
        <v>2</v>
      </c>
      <c r="F59" t="s">
        <v>3</v>
      </c>
      <c r="G59" t="s">
        <v>4</v>
      </c>
      <c r="H59" t="s">
        <v>5</v>
      </c>
      <c r="I59" t="s">
        <v>6</v>
      </c>
      <c r="J59" t="s">
        <v>7</v>
      </c>
      <c r="K59" t="s">
        <v>8</v>
      </c>
      <c r="L59" t="s">
        <v>9</v>
      </c>
      <c r="M59" t="s">
        <v>10</v>
      </c>
      <c r="N59" t="s">
        <v>11</v>
      </c>
      <c r="O59" t="s">
        <v>12</v>
      </c>
    </row>
    <row r="60" spans="1:15">
      <c r="A60" t="s">
        <v>13</v>
      </c>
      <c r="N60">
        <v>320</v>
      </c>
      <c r="O60">
        <f>M52*3/5+N60*2/5</f>
        <v>323</v>
      </c>
    </row>
    <row r="61" spans="1:15">
      <c r="A61" t="s">
        <v>14</v>
      </c>
      <c r="O61" s="7">
        <v>0</v>
      </c>
    </row>
    <row r="62" spans="1:15">
      <c r="A62" t="s">
        <v>15</v>
      </c>
      <c r="C62" s="4"/>
      <c r="D62" s="4"/>
      <c r="E62" s="4">
        <v>1179.58</v>
      </c>
      <c r="F62" s="2"/>
      <c r="G62" s="2"/>
      <c r="H62" s="2"/>
      <c r="I62" s="2"/>
      <c r="J62" s="2"/>
      <c r="K62" s="2"/>
      <c r="L62" s="2"/>
      <c r="M62" s="2"/>
      <c r="N62" s="2"/>
      <c r="O62">
        <f>E62*3/6+E70*3/6</f>
        <v>1257.4949999999999</v>
      </c>
    </row>
    <row r="63" spans="1:15">
      <c r="A63" t="s">
        <v>16</v>
      </c>
      <c r="C63" s="4"/>
      <c r="D63" s="4"/>
      <c r="E63" s="20">
        <v>1946.6</v>
      </c>
      <c r="F63" s="2"/>
      <c r="G63" s="2"/>
      <c r="H63" s="2"/>
      <c r="I63" s="2"/>
      <c r="J63" s="2"/>
      <c r="K63" s="2"/>
      <c r="L63" s="2"/>
      <c r="M63" s="2"/>
      <c r="N63" s="2"/>
      <c r="O63">
        <f>E63*3/11+E71*9/12</f>
        <v>1948.653409090909</v>
      </c>
    </row>
    <row r="64" spans="1:15">
      <c r="A64" t="s">
        <v>17</v>
      </c>
    </row>
    <row r="66" spans="1:15">
      <c r="A66">
        <v>2021</v>
      </c>
    </row>
    <row r="67" spans="1:15">
      <c r="C67" t="s">
        <v>0</v>
      </c>
      <c r="D67" t="s">
        <v>1</v>
      </c>
      <c r="E67" t="s">
        <v>2</v>
      </c>
      <c r="F67" t="s">
        <v>3</v>
      </c>
      <c r="G67" t="s">
        <v>4</v>
      </c>
      <c r="H67" t="s">
        <v>5</v>
      </c>
      <c r="I67" t="s">
        <v>6</v>
      </c>
      <c r="J67" t="s">
        <v>7</v>
      </c>
      <c r="K67" t="s">
        <v>8</v>
      </c>
      <c r="L67" t="s">
        <v>9</v>
      </c>
      <c r="M67" t="s">
        <v>10</v>
      </c>
      <c r="N67" t="s">
        <v>11</v>
      </c>
      <c r="O67" t="s">
        <v>12</v>
      </c>
    </row>
    <row r="68" spans="1:15">
      <c r="A68" t="s">
        <v>13</v>
      </c>
      <c r="O68">
        <f>M60*3/5+M68*2/5</f>
        <v>0</v>
      </c>
    </row>
    <row r="69" spans="1:15">
      <c r="A69" t="s">
        <v>14</v>
      </c>
      <c r="O69">
        <f t="shared" ref="O69" si="9">SUM(C69:N69)</f>
        <v>0</v>
      </c>
    </row>
    <row r="70" spans="1:15">
      <c r="A70" t="s">
        <v>15</v>
      </c>
      <c r="C70" s="2"/>
      <c r="D70" s="2"/>
      <c r="E70" s="2">
        <v>1335.41</v>
      </c>
    </row>
    <row r="71" spans="1:15">
      <c r="A71" t="s">
        <v>16</v>
      </c>
      <c r="C71" s="2"/>
      <c r="D71" s="2"/>
      <c r="E71" s="26">
        <v>1890.35</v>
      </c>
    </row>
    <row r="72" spans="1:15">
      <c r="A72" t="s">
        <v>17</v>
      </c>
    </row>
    <row r="74" spans="1:15">
      <c r="A74" s="10" t="s">
        <v>18</v>
      </c>
      <c r="B74" s="10" t="s">
        <v>19</v>
      </c>
      <c r="C74">
        <v>2012</v>
      </c>
      <c r="D74">
        <v>2013</v>
      </c>
      <c r="E74">
        <v>2014</v>
      </c>
      <c r="F74">
        <v>2015</v>
      </c>
      <c r="G74">
        <v>2016</v>
      </c>
      <c r="H74">
        <v>2017</v>
      </c>
      <c r="I74">
        <v>2018</v>
      </c>
      <c r="J74">
        <v>2019</v>
      </c>
      <c r="K74">
        <v>2020</v>
      </c>
      <c r="L74" s="21" t="s">
        <v>20</v>
      </c>
    </row>
    <row r="75" spans="1:15">
      <c r="A75" t="s">
        <v>13</v>
      </c>
      <c r="C75" s="11">
        <f>O3</f>
        <v>0</v>
      </c>
      <c r="D75" s="11">
        <f>O10</f>
        <v>751.5</v>
      </c>
      <c r="E75" s="11">
        <f>O17</f>
        <v>742</v>
      </c>
      <c r="F75" s="11">
        <f>O24</f>
        <v>674.14</v>
      </c>
      <c r="G75" s="11">
        <f>O31</f>
        <v>712.05</v>
      </c>
      <c r="H75" s="11">
        <f>O38</f>
        <v>414.91666666666669</v>
      </c>
      <c r="I75" s="11">
        <f>O45</f>
        <v>335.83333333333331</v>
      </c>
      <c r="J75" s="11">
        <f>O52</f>
        <v>390</v>
      </c>
      <c r="K75" s="11">
        <f>O60</f>
        <v>323</v>
      </c>
      <c r="L75" s="11">
        <f>SUM(C75:K75)</f>
        <v>4343.4399999999996</v>
      </c>
    </row>
    <row r="76" spans="1:15">
      <c r="A76" t="s">
        <v>14</v>
      </c>
      <c r="C76" s="11">
        <f>O4</f>
        <v>1739.74</v>
      </c>
      <c r="D76" s="11">
        <f>O11</f>
        <v>1718.2</v>
      </c>
      <c r="E76" s="11">
        <f>O18</f>
        <v>1591.93</v>
      </c>
      <c r="F76" s="11">
        <f>O25</f>
        <v>0</v>
      </c>
      <c r="G76" s="11">
        <f>O32</f>
        <v>0</v>
      </c>
      <c r="H76" s="11">
        <f>O39</f>
        <v>0</v>
      </c>
      <c r="I76" s="11">
        <f>O46</f>
        <v>0</v>
      </c>
      <c r="J76" s="11">
        <f>O53</f>
        <v>0</v>
      </c>
      <c r="K76" s="11">
        <f>O61</f>
        <v>0</v>
      </c>
      <c r="L76" s="11">
        <f>SUM(C76:K76)</f>
        <v>5049.87</v>
      </c>
    </row>
    <row r="77" spans="1:15">
      <c r="A77" t="s">
        <v>15</v>
      </c>
      <c r="C77" s="11">
        <f>O5</f>
        <v>0</v>
      </c>
      <c r="D77" s="11">
        <f>O12</f>
        <v>0</v>
      </c>
      <c r="E77" s="11">
        <f>O19</f>
        <v>0</v>
      </c>
      <c r="F77" s="11">
        <f>O26</f>
        <v>0</v>
      </c>
      <c r="G77" s="11">
        <f>O33</f>
        <v>600.48500000000001</v>
      </c>
      <c r="H77" s="11">
        <f>O40</f>
        <v>1346.3400000000001</v>
      </c>
      <c r="I77" s="11">
        <f>O47</f>
        <v>1967.0332000000001</v>
      </c>
      <c r="J77" s="11">
        <f>O54</f>
        <v>1360.4627999999998</v>
      </c>
      <c r="K77" s="11">
        <f>O62</f>
        <v>1257.4949999999999</v>
      </c>
      <c r="L77" s="11">
        <f>SUM(C77:K77)</f>
        <v>6531.8159999999998</v>
      </c>
    </row>
    <row r="78" spans="1:15">
      <c r="A78" t="s">
        <v>16</v>
      </c>
      <c r="C78" s="11">
        <f>O6</f>
        <v>122.21600000000001</v>
      </c>
      <c r="D78" s="11">
        <f>O13</f>
        <v>1311.354</v>
      </c>
      <c r="E78" s="11">
        <f>O20</f>
        <v>1628.7249999999999</v>
      </c>
      <c r="F78" s="11">
        <f>O27</f>
        <v>1808.9059090909091</v>
      </c>
      <c r="G78" s="11">
        <f>O34</f>
        <v>2031.5057575757576</v>
      </c>
      <c r="H78" s="11">
        <f>O41</f>
        <v>1801.7648717948719</v>
      </c>
      <c r="I78" s="11">
        <f>O48</f>
        <v>1860.6281615384617</v>
      </c>
      <c r="J78" s="11">
        <f>O55</f>
        <v>1889.8678909090909</v>
      </c>
      <c r="K78" s="11">
        <f>O63</f>
        <v>1948.653409090909</v>
      </c>
      <c r="L78" s="11">
        <f>SUM(C78:K78)</f>
        <v>14403.620999999999</v>
      </c>
    </row>
    <row r="79" spans="1:15">
      <c r="A79" t="s">
        <v>17</v>
      </c>
      <c r="C79" s="11">
        <f>O7</f>
        <v>200</v>
      </c>
      <c r="D79" s="11">
        <f>O14</f>
        <v>446.1</v>
      </c>
      <c r="E79" s="11">
        <f>O21</f>
        <v>120</v>
      </c>
      <c r="F79" s="11">
        <f>O28</f>
        <v>240.7</v>
      </c>
      <c r="G79" s="11">
        <f>O35</f>
        <v>210</v>
      </c>
      <c r="H79" s="11">
        <f>O42</f>
        <v>190</v>
      </c>
      <c r="I79" s="11">
        <f>O49</f>
        <v>60</v>
      </c>
      <c r="J79" s="11">
        <f>O56</f>
        <v>0</v>
      </c>
      <c r="K79" s="11">
        <f>O64</f>
        <v>0</v>
      </c>
      <c r="L79" s="11">
        <f>SUM(C79:K79)</f>
        <v>1466.8</v>
      </c>
    </row>
    <row r="80" spans="1:15">
      <c r="A80" t="s">
        <v>21</v>
      </c>
      <c r="C80" s="22">
        <v>3263.74</v>
      </c>
      <c r="D80" s="22"/>
      <c r="E80" s="22"/>
      <c r="F80" s="22"/>
      <c r="G80" s="23">
        <f>6000+2835.5</f>
        <v>8835.5</v>
      </c>
      <c r="H80" s="22"/>
      <c r="I80" s="22"/>
      <c r="J80" s="22"/>
      <c r="K80" s="22"/>
      <c r="L80" s="24"/>
    </row>
    <row r="81" spans="1:14">
      <c r="A81" t="s">
        <v>22</v>
      </c>
      <c r="C81" s="25"/>
      <c r="D81" s="25"/>
      <c r="E81" s="25"/>
      <c r="F81" s="25"/>
      <c r="G81" s="32">
        <f>G77/Quantities!F109</f>
        <v>3.0769907423222768E-2</v>
      </c>
      <c r="H81" s="32">
        <f>H77/Quantities!G109</f>
        <v>4.6337635518843574E-2</v>
      </c>
      <c r="I81" s="32">
        <f>I77/Quantities!H109</f>
        <v>7.4164791107916073E-2</v>
      </c>
      <c r="J81" s="32">
        <f>J77/Quantities!I109</f>
        <v>6.6019689982857691E-2</v>
      </c>
      <c r="K81" s="32">
        <f>K77/Quantities!J109</f>
        <v>5.5680916106770832E-2</v>
      </c>
      <c r="L81" s="33">
        <f>SUM(G77:K77)/SUM(Quantities!F109:J109)</f>
        <v>5.522161891825509E-2</v>
      </c>
      <c r="M81" t="s">
        <v>23</v>
      </c>
    </row>
    <row r="82" spans="1:14">
      <c r="A82" t="s">
        <v>24</v>
      </c>
      <c r="C82" s="32">
        <f>C78/Quantities!B112</f>
        <v>0.17237799717912555</v>
      </c>
      <c r="D82" s="32">
        <f>D78/Quantities!C112</f>
        <v>0.21815904175677925</v>
      </c>
      <c r="E82" s="32">
        <f>E78/Quantities!D112</f>
        <v>0.20642248344475775</v>
      </c>
      <c r="F82" s="32">
        <f>F78/Quantities!E112</f>
        <v>0.22387386399115664</v>
      </c>
      <c r="G82" s="32">
        <f>G78/Quantities!F112</f>
        <v>0.24782336588864159</v>
      </c>
      <c r="H82" s="32">
        <f>H78/Quantities!G112</f>
        <v>0.25787294399142735</v>
      </c>
      <c r="I82" s="32">
        <f>I78/Quantities!H112</f>
        <v>0.25707423408601537</v>
      </c>
      <c r="J82" s="32">
        <f>J78/Quantities!I112</f>
        <v>0.25412131687806216</v>
      </c>
      <c r="K82" s="32">
        <f>K78/Quantities!J112</f>
        <v>0.23817867411142132</v>
      </c>
      <c r="L82" s="33">
        <f>L78/Quantities!K112</f>
        <v>0.23717179517789586</v>
      </c>
      <c r="M82" t="s">
        <v>25</v>
      </c>
    </row>
    <row r="83" spans="1:14">
      <c r="C83">
        <v>2012</v>
      </c>
      <c r="D83">
        <v>2013</v>
      </c>
      <c r="E83">
        <v>2014</v>
      </c>
      <c r="F83">
        <v>2015</v>
      </c>
      <c r="G83">
        <v>2016</v>
      </c>
      <c r="H83">
        <v>2017</v>
      </c>
      <c r="I83">
        <v>2018</v>
      </c>
      <c r="J83">
        <v>2019</v>
      </c>
      <c r="K83">
        <v>2020</v>
      </c>
      <c r="L83" s="21" t="s">
        <v>20</v>
      </c>
      <c r="M83" s="21" t="s">
        <v>26</v>
      </c>
      <c r="N83" s="21" t="s">
        <v>27</v>
      </c>
    </row>
    <row r="84" spans="1:14">
      <c r="A84" t="s">
        <v>28</v>
      </c>
      <c r="C84" s="7">
        <f t="shared" ref="C84:J84" si="10">C78</f>
        <v>122.21600000000001</v>
      </c>
      <c r="D84" s="7">
        <f t="shared" si="10"/>
        <v>1311.354</v>
      </c>
      <c r="E84" s="7">
        <f t="shared" si="10"/>
        <v>1628.7249999999999</v>
      </c>
      <c r="F84" s="7">
        <f t="shared" si="10"/>
        <v>1808.9059090909091</v>
      </c>
      <c r="G84" s="7">
        <f t="shared" si="10"/>
        <v>2031.5057575757576</v>
      </c>
      <c r="H84" s="7">
        <f t="shared" si="10"/>
        <v>1801.7648717948719</v>
      </c>
      <c r="I84" s="7">
        <f>I78</f>
        <v>1860.6281615384617</v>
      </c>
      <c r="J84" s="7">
        <f t="shared" si="10"/>
        <v>1889.8678909090909</v>
      </c>
      <c r="K84" s="7">
        <f>K78</f>
        <v>1948.653409090909</v>
      </c>
      <c r="L84" s="7">
        <f>SUM(C84:K84)</f>
        <v>14403.620999999999</v>
      </c>
      <c r="M84" s="7">
        <f>L84/8.25</f>
        <v>1745.8934545454545</v>
      </c>
      <c r="N84" s="7">
        <f>AVERAGE(I84:K84)</f>
        <v>1899.7164871794873</v>
      </c>
    </row>
    <row r="85" spans="1:14" ht="17.100000000000001" thickBot="1">
      <c r="A85" s="14" t="s">
        <v>29</v>
      </c>
      <c r="B85" s="14"/>
      <c r="C85" s="16">
        <f t="shared" ref="C85:J85" si="11">SUM(C75:C77)</f>
        <v>1739.74</v>
      </c>
      <c r="D85" s="16">
        <f>SUM(D75:D77)</f>
        <v>2469.6999999999998</v>
      </c>
      <c r="E85" s="16">
        <f t="shared" si="11"/>
        <v>2333.9300000000003</v>
      </c>
      <c r="F85" s="16">
        <f t="shared" si="11"/>
        <v>674.14</v>
      </c>
      <c r="G85" s="16">
        <f t="shared" si="11"/>
        <v>1312.5349999999999</v>
      </c>
      <c r="H85" s="16">
        <f t="shared" si="11"/>
        <v>1761.2566666666669</v>
      </c>
      <c r="I85" s="16">
        <f>SUM(I75:I77)</f>
        <v>2302.8665333333333</v>
      </c>
      <c r="J85" s="16">
        <f t="shared" si="11"/>
        <v>1750.4627999999998</v>
      </c>
      <c r="K85" s="16">
        <f>SUM(K75:K77)</f>
        <v>1580.4949999999999</v>
      </c>
      <c r="L85" s="16">
        <f>SUM(C85:K85)</f>
        <v>15925.126</v>
      </c>
      <c r="M85" s="16">
        <f>L85/8.5</f>
        <v>1873.5442352941177</v>
      </c>
      <c r="N85" s="16">
        <f>AVERAGE(I85:K85)</f>
        <v>1877.9414444444444</v>
      </c>
    </row>
    <row r="86" spans="1:14" ht="17.100000000000001" thickTop="1">
      <c r="A86" t="s">
        <v>30</v>
      </c>
      <c r="C86" s="7">
        <f t="shared" ref="C86:I86" si="12">SUM(C75:C78)</f>
        <v>1861.9560000000001</v>
      </c>
      <c r="D86" s="7">
        <f t="shared" si="12"/>
        <v>3781.0540000000001</v>
      </c>
      <c r="E86" s="7">
        <f t="shared" si="12"/>
        <v>3962.6550000000002</v>
      </c>
      <c r="F86" s="7">
        <f t="shared" si="12"/>
        <v>2483.0459090909089</v>
      </c>
      <c r="G86" s="7">
        <f t="shared" si="12"/>
        <v>3344.0407575757572</v>
      </c>
      <c r="H86" s="7">
        <f t="shared" si="12"/>
        <v>3563.0215384615385</v>
      </c>
      <c r="I86" s="7">
        <f t="shared" si="12"/>
        <v>4163.4946948717952</v>
      </c>
      <c r="J86" s="7">
        <f>SUM(J75:J78)</f>
        <v>3640.3306909090907</v>
      </c>
      <c r="K86" s="7">
        <f>SUM(K75:K78)</f>
        <v>3529.1484090909089</v>
      </c>
      <c r="L86" s="8">
        <f>SUM(C86:K86)+5*1700</f>
        <v>38828.747000000003</v>
      </c>
      <c r="M86" s="7">
        <f>L86/8.25</f>
        <v>4706.5147878787884</v>
      </c>
      <c r="N86" s="7">
        <f>AVERAGE(I86:K86)</f>
        <v>3777.6579316239317</v>
      </c>
    </row>
  </sheetData>
  <phoneticPr fontId="7" type="noConversion"/>
  <pageMargins left="0.75000000000000011" right="0.75000000000000011" top="1" bottom="1" header="0.5" footer="0.5"/>
  <pageSetup paperSize="9" scale="88" orientation="landscape" horizontalDpi="4294967292" verticalDpi="4294967292"/>
  <colBreaks count="1" manualBreakCount="1">
    <brk id="12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0"/>
  <sheetViews>
    <sheetView topLeftCell="A89" zoomScale="125" zoomScaleNormal="125" zoomScalePageLayoutView="125" workbookViewId="0">
      <selection activeCell="B90" sqref="B90"/>
    </sheetView>
  </sheetViews>
  <sheetFormatPr defaultColWidth="11" defaultRowHeight="15.75"/>
  <cols>
    <col min="1" max="1" width="43.5" bestFit="1" customWidth="1"/>
    <col min="2" max="2" width="11.375" bestFit="1" customWidth="1"/>
    <col min="3" max="9" width="12.375" bestFit="1" customWidth="1"/>
    <col min="10" max="10" width="12.5" customWidth="1"/>
    <col min="12" max="12" width="16.875" bestFit="1" customWidth="1"/>
    <col min="13" max="13" width="14.875" bestFit="1" customWidth="1"/>
    <col min="14" max="14" width="29.625" customWidth="1"/>
  </cols>
  <sheetData>
    <row r="1" spans="1:14">
      <c r="A1">
        <v>2012</v>
      </c>
    </row>
    <row r="2" spans="1:14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</row>
    <row r="3" spans="1:14">
      <c r="A3" t="s">
        <v>13</v>
      </c>
      <c r="N3">
        <f>SUM(B3:M3)</f>
        <v>0</v>
      </c>
    </row>
    <row r="4" spans="1:14">
      <c r="A4" t="s">
        <v>14</v>
      </c>
      <c r="M4">
        <v>2000</v>
      </c>
      <c r="N4">
        <f t="shared" ref="N4:N9" si="0">SUM(B4:M4)</f>
        <v>2000</v>
      </c>
    </row>
    <row r="5" spans="1:14">
      <c r="A5" t="s">
        <v>15</v>
      </c>
      <c r="N5">
        <f t="shared" si="0"/>
        <v>0</v>
      </c>
    </row>
    <row r="6" spans="1:14">
      <c r="A6" t="s">
        <v>31</v>
      </c>
      <c r="K6" s="1"/>
      <c r="L6" s="1"/>
      <c r="M6" s="1"/>
      <c r="N6">
        <f t="shared" si="0"/>
        <v>0</v>
      </c>
    </row>
    <row r="7" spans="1:14">
      <c r="A7" t="s">
        <v>32</v>
      </c>
      <c r="K7" s="1"/>
      <c r="L7" s="1"/>
      <c r="M7" s="1"/>
      <c r="N7">
        <f t="shared" si="0"/>
        <v>0</v>
      </c>
    </row>
    <row r="8" spans="1:14">
      <c r="A8" t="s">
        <v>33</v>
      </c>
      <c r="K8" s="1"/>
      <c r="L8" s="1"/>
      <c r="M8" s="1"/>
      <c r="N8">
        <f t="shared" si="0"/>
        <v>0</v>
      </c>
    </row>
    <row r="9" spans="1:14">
      <c r="A9" t="s">
        <v>17</v>
      </c>
      <c r="N9">
        <f t="shared" si="0"/>
        <v>0</v>
      </c>
    </row>
    <row r="10" spans="1:14">
      <c r="A10">
        <v>2013</v>
      </c>
    </row>
    <row r="11" spans="1:14">
      <c r="B11" t="s">
        <v>0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10</v>
      </c>
      <c r="M11" t="s">
        <v>11</v>
      </c>
      <c r="N11" t="s">
        <v>12</v>
      </c>
    </row>
    <row r="12" spans="1:14">
      <c r="A12" t="s">
        <v>13</v>
      </c>
      <c r="D12">
        <f>70*15</f>
        <v>1050</v>
      </c>
      <c r="K12">
        <f>70*15</f>
        <v>1050</v>
      </c>
      <c r="M12">
        <f>56*14</f>
        <v>784</v>
      </c>
      <c r="N12">
        <f>SUM(B12:M12)</f>
        <v>2884</v>
      </c>
    </row>
    <row r="13" spans="1:14">
      <c r="A13" t="s">
        <v>14</v>
      </c>
      <c r="B13">
        <v>2000</v>
      </c>
      <c r="N13">
        <f t="shared" ref="N13:N18" si="1">SUM(B13:M13)</f>
        <v>2000</v>
      </c>
    </row>
    <row r="14" spans="1:14">
      <c r="A14" t="s">
        <v>15</v>
      </c>
      <c r="N14">
        <f t="shared" si="1"/>
        <v>0</v>
      </c>
    </row>
    <row r="15" spans="1:14">
      <c r="A15" t="s">
        <v>31</v>
      </c>
      <c r="B15" s="1"/>
      <c r="C15" s="1"/>
      <c r="D15" s="1">
        <v>752</v>
      </c>
      <c r="E15" s="2"/>
      <c r="F15" s="2"/>
      <c r="G15" s="2"/>
      <c r="H15" s="2"/>
      <c r="I15" s="2"/>
      <c r="J15" s="2"/>
      <c r="K15" s="2"/>
      <c r="L15" s="2">
        <v>1622</v>
      </c>
      <c r="M15" s="3">
        <v>360</v>
      </c>
      <c r="N15">
        <f t="shared" si="1"/>
        <v>2734</v>
      </c>
    </row>
    <row r="16" spans="1:14">
      <c r="A16" t="s">
        <v>32</v>
      </c>
      <c r="B16" s="1"/>
      <c r="C16" s="1"/>
      <c r="D16" s="1">
        <v>666</v>
      </c>
      <c r="E16" s="2"/>
      <c r="F16" s="2"/>
      <c r="G16" s="2"/>
      <c r="H16" s="2"/>
      <c r="I16" s="2"/>
      <c r="J16" s="2"/>
      <c r="K16" s="2"/>
      <c r="L16" s="2">
        <v>2747</v>
      </c>
      <c r="M16" s="3">
        <v>573</v>
      </c>
      <c r="N16">
        <f t="shared" si="1"/>
        <v>3986</v>
      </c>
    </row>
    <row r="17" spans="1:14">
      <c r="A17" t="s">
        <v>33</v>
      </c>
      <c r="B17" s="1"/>
      <c r="C17" s="1"/>
      <c r="D17" s="1">
        <f>SUM(D15:D16)</f>
        <v>1418</v>
      </c>
      <c r="E17" s="2"/>
      <c r="F17" s="2"/>
      <c r="G17" s="2"/>
      <c r="H17" s="2"/>
      <c r="I17" s="2"/>
      <c r="J17" s="2"/>
      <c r="K17" s="2"/>
      <c r="L17" s="2">
        <f>SUM(L15:L16)</f>
        <v>4369</v>
      </c>
      <c r="M17" s="3">
        <f>SUM(M15:M16)</f>
        <v>933</v>
      </c>
      <c r="N17">
        <f t="shared" si="1"/>
        <v>6720</v>
      </c>
    </row>
    <row r="18" spans="1:14">
      <c r="A18" t="s">
        <v>17</v>
      </c>
      <c r="N18">
        <f t="shared" si="1"/>
        <v>0</v>
      </c>
    </row>
    <row r="19" spans="1:14">
      <c r="A19">
        <v>2014</v>
      </c>
    </row>
    <row r="20" spans="1:14">
      <c r="B20" t="s">
        <v>0</v>
      </c>
      <c r="C20" t="s">
        <v>1</v>
      </c>
      <c r="D20" t="s">
        <v>2</v>
      </c>
      <c r="E20" t="s">
        <v>3</v>
      </c>
      <c r="F20" t="s">
        <v>4</v>
      </c>
      <c r="G20" t="s">
        <v>5</v>
      </c>
      <c r="H20" t="s">
        <v>6</v>
      </c>
      <c r="I20" t="s">
        <v>7</v>
      </c>
      <c r="J20" t="s">
        <v>8</v>
      </c>
      <c r="K20" t="s">
        <v>9</v>
      </c>
      <c r="L20" t="s">
        <v>10</v>
      </c>
      <c r="M20" t="s">
        <v>11</v>
      </c>
      <c r="N20" t="s">
        <v>12</v>
      </c>
    </row>
    <row r="21" spans="1:14">
      <c r="A21" t="s">
        <v>13</v>
      </c>
      <c r="D21">
        <f>56*14</f>
        <v>784</v>
      </c>
      <c r="L21">
        <f>10*15</f>
        <v>150</v>
      </c>
      <c r="M21">
        <f>56*14</f>
        <v>784</v>
      </c>
      <c r="N21">
        <f>SUM(B21:M21)</f>
        <v>1718</v>
      </c>
    </row>
    <row r="22" spans="1:14">
      <c r="A22" t="s">
        <v>14</v>
      </c>
      <c r="C22">
        <v>2000</v>
      </c>
      <c r="N22">
        <f t="shared" ref="N22:N27" si="2">SUM(B22:M22)</f>
        <v>2000</v>
      </c>
    </row>
    <row r="23" spans="1:14">
      <c r="A23" t="s">
        <v>15</v>
      </c>
      <c r="N23">
        <f t="shared" si="2"/>
        <v>0</v>
      </c>
    </row>
    <row r="24" spans="1:14">
      <c r="A24" t="s">
        <v>31</v>
      </c>
      <c r="B24" s="4"/>
      <c r="C24" s="4"/>
      <c r="D24" s="4">
        <v>694</v>
      </c>
      <c r="E24" s="5"/>
      <c r="F24" s="5"/>
      <c r="G24" s="5"/>
      <c r="H24" s="5"/>
      <c r="I24" s="5"/>
      <c r="J24" s="5"/>
      <c r="K24" s="5"/>
      <c r="L24" s="5"/>
      <c r="M24" s="5"/>
      <c r="N24">
        <f t="shared" si="2"/>
        <v>694</v>
      </c>
    </row>
    <row r="25" spans="1:14">
      <c r="A25" t="s">
        <v>32</v>
      </c>
      <c r="B25" s="4"/>
      <c r="C25" s="4"/>
      <c r="D25" s="4">
        <v>1191</v>
      </c>
      <c r="E25" s="5"/>
      <c r="F25" s="5"/>
      <c r="G25" s="5"/>
      <c r="H25" s="5"/>
      <c r="I25" s="5"/>
      <c r="J25" s="5"/>
      <c r="K25" s="5"/>
      <c r="L25" s="5"/>
      <c r="M25" s="5"/>
      <c r="N25">
        <f t="shared" si="2"/>
        <v>1191</v>
      </c>
    </row>
    <row r="26" spans="1:14">
      <c r="A26" t="s">
        <v>33</v>
      </c>
      <c r="B26" s="4"/>
      <c r="C26" s="4"/>
      <c r="D26" s="4">
        <f>SUM(D24:D25)</f>
        <v>1885</v>
      </c>
      <c r="E26" s="5"/>
      <c r="F26" s="5"/>
      <c r="G26" s="5"/>
      <c r="H26" s="5"/>
      <c r="I26" s="5"/>
      <c r="J26" s="5"/>
      <c r="K26" s="5"/>
      <c r="L26" s="5"/>
      <c r="M26" s="5"/>
      <c r="N26">
        <f t="shared" si="2"/>
        <v>1885</v>
      </c>
    </row>
    <row r="27" spans="1:14">
      <c r="A27" t="s">
        <v>17</v>
      </c>
      <c r="N27">
        <f t="shared" si="2"/>
        <v>0</v>
      </c>
    </row>
    <row r="28" spans="1:14">
      <c r="A28">
        <v>2015</v>
      </c>
    </row>
    <row r="29" spans="1:14">
      <c r="B29" t="s">
        <v>0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I29" t="s">
        <v>7</v>
      </c>
      <c r="J29" t="s">
        <v>8</v>
      </c>
      <c r="K29" t="s">
        <v>9</v>
      </c>
      <c r="L29" t="s">
        <v>10</v>
      </c>
      <c r="M29" t="s">
        <v>11</v>
      </c>
      <c r="N29" t="s">
        <v>12</v>
      </c>
    </row>
    <row r="30" spans="1:14">
      <c r="A30" t="s">
        <v>13</v>
      </c>
      <c r="B30">
        <f>56*14</f>
        <v>784</v>
      </c>
      <c r="E30">
        <f>10*15</f>
        <v>150</v>
      </c>
      <c r="K30">
        <f>6*15+65*15</f>
        <v>1065</v>
      </c>
      <c r="N30">
        <f>SUM(B30:M30)</f>
        <v>1999</v>
      </c>
    </row>
    <row r="31" spans="1:14">
      <c r="A31" t="s">
        <v>14</v>
      </c>
      <c r="N31">
        <f t="shared" ref="N31:N36" si="3">SUM(B31:M31)</f>
        <v>0</v>
      </c>
    </row>
    <row r="32" spans="1:14">
      <c r="A32" t="s">
        <v>15</v>
      </c>
      <c r="N32">
        <f t="shared" si="3"/>
        <v>0</v>
      </c>
    </row>
    <row r="33" spans="1:14">
      <c r="A33" t="s">
        <v>31</v>
      </c>
      <c r="B33" s="5"/>
      <c r="C33" s="5"/>
      <c r="D33" s="5">
        <v>2728</v>
      </c>
      <c r="E33" s="6"/>
      <c r="F33" s="6"/>
      <c r="G33" s="6"/>
      <c r="H33" s="6"/>
      <c r="I33" s="6"/>
      <c r="J33" s="6"/>
      <c r="K33" s="6"/>
      <c r="L33" s="6"/>
      <c r="M33" s="6"/>
      <c r="N33">
        <f t="shared" si="3"/>
        <v>2728</v>
      </c>
    </row>
    <row r="34" spans="1:14">
      <c r="A34" t="s">
        <v>32</v>
      </c>
      <c r="B34" s="5"/>
      <c r="C34" s="5"/>
      <c r="D34" s="5">
        <v>5279</v>
      </c>
      <c r="E34" s="6"/>
      <c r="F34" s="6"/>
      <c r="G34" s="6"/>
      <c r="H34" s="6"/>
      <c r="I34" s="6"/>
      <c r="J34" s="6"/>
      <c r="K34" s="6"/>
      <c r="L34" s="6"/>
      <c r="M34" s="6"/>
      <c r="N34">
        <f t="shared" si="3"/>
        <v>5279</v>
      </c>
    </row>
    <row r="35" spans="1:14">
      <c r="A35" t="s">
        <v>33</v>
      </c>
      <c r="B35" s="5"/>
      <c r="C35" s="5"/>
      <c r="D35" s="5">
        <f>SUM(D33:D34)</f>
        <v>8007</v>
      </c>
      <c r="E35" s="6"/>
      <c r="F35" s="6"/>
      <c r="G35" s="6"/>
      <c r="H35" s="6"/>
      <c r="I35" s="6"/>
      <c r="J35" s="6"/>
      <c r="K35" s="6"/>
      <c r="L35" s="6"/>
      <c r="M35" s="6"/>
      <c r="N35">
        <f t="shared" si="3"/>
        <v>8007</v>
      </c>
    </row>
    <row r="36" spans="1:14">
      <c r="A36" t="s">
        <v>17</v>
      </c>
      <c r="N36">
        <f t="shared" si="3"/>
        <v>0</v>
      </c>
    </row>
    <row r="37" spans="1:14">
      <c r="A37">
        <v>2016</v>
      </c>
    </row>
    <row r="38" spans="1:14">
      <c r="B38" t="s">
        <v>0</v>
      </c>
      <c r="C38" t="s">
        <v>1</v>
      </c>
      <c r="D38" t="s">
        <v>2</v>
      </c>
      <c r="E38" t="s">
        <v>3</v>
      </c>
      <c r="F38" t="s">
        <v>4</v>
      </c>
      <c r="G38" t="s">
        <v>5</v>
      </c>
      <c r="H38" t="s">
        <v>6</v>
      </c>
      <c r="I38" t="s">
        <v>7</v>
      </c>
      <c r="J38" t="s">
        <v>8</v>
      </c>
      <c r="K38" t="s">
        <v>9</v>
      </c>
      <c r="L38" t="s">
        <v>10</v>
      </c>
      <c r="M38" t="s">
        <v>11</v>
      </c>
      <c r="N38" t="s">
        <v>12</v>
      </c>
    </row>
    <row r="39" spans="1:14">
      <c r="A39" t="s">
        <v>13</v>
      </c>
      <c r="B39">
        <f>65*15</f>
        <v>975</v>
      </c>
      <c r="D39">
        <f>15*15</f>
        <v>225</v>
      </c>
      <c r="K39">
        <f>65*15</f>
        <v>975</v>
      </c>
      <c r="N39">
        <f>SUM(B39:M39)</f>
        <v>2175</v>
      </c>
    </row>
    <row r="40" spans="1:14">
      <c r="A40" t="s">
        <v>14</v>
      </c>
      <c r="N40">
        <f t="shared" ref="N40:N45" si="4">SUM(B40:M40)</f>
        <v>0</v>
      </c>
    </row>
    <row r="41" spans="1:14">
      <c r="A41" t="s">
        <v>15</v>
      </c>
      <c r="E41" s="2"/>
      <c r="F41" s="2"/>
      <c r="G41" s="2"/>
      <c r="H41" s="2"/>
      <c r="I41" s="2"/>
      <c r="J41" s="2"/>
      <c r="K41" s="2"/>
      <c r="L41" s="2"/>
      <c r="M41" s="2"/>
      <c r="N41">
        <f t="shared" si="4"/>
        <v>0</v>
      </c>
    </row>
    <row r="42" spans="1:14">
      <c r="A42" t="s">
        <v>31</v>
      </c>
      <c r="B42" s="6"/>
      <c r="C42" s="6">
        <v>2632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>
        <f t="shared" si="4"/>
        <v>2632</v>
      </c>
    </row>
    <row r="43" spans="1:14">
      <c r="A43" t="s">
        <v>32</v>
      </c>
      <c r="B43" s="6"/>
      <c r="C43" s="6">
        <v>4797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>
        <f t="shared" si="4"/>
        <v>4797</v>
      </c>
    </row>
    <row r="44" spans="1:14">
      <c r="A44" t="s">
        <v>33</v>
      </c>
      <c r="B44" s="6"/>
      <c r="C44" s="6">
        <f>SUM(C42:C43)</f>
        <v>7429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>
        <f t="shared" si="4"/>
        <v>7429</v>
      </c>
    </row>
    <row r="45" spans="1:14">
      <c r="A45" t="s">
        <v>17</v>
      </c>
      <c r="N45">
        <f t="shared" si="4"/>
        <v>0</v>
      </c>
    </row>
    <row r="46" spans="1:14">
      <c r="A46">
        <v>2017</v>
      </c>
    </row>
    <row r="47" spans="1:14">
      <c r="B47" t="s">
        <v>0</v>
      </c>
      <c r="C47" t="s">
        <v>1</v>
      </c>
      <c r="D47" t="s">
        <v>2</v>
      </c>
      <c r="E47" t="s">
        <v>3</v>
      </c>
      <c r="F47" t="s">
        <v>4</v>
      </c>
      <c r="G47" t="s">
        <v>5</v>
      </c>
      <c r="H47" t="s">
        <v>6</v>
      </c>
      <c r="I47" t="s">
        <v>7</v>
      </c>
      <c r="J47" t="s">
        <v>8</v>
      </c>
      <c r="K47" t="s">
        <v>9</v>
      </c>
      <c r="L47" t="s">
        <v>10</v>
      </c>
      <c r="M47" t="s">
        <v>11</v>
      </c>
      <c r="N47" t="s">
        <v>12</v>
      </c>
    </row>
    <row r="48" spans="1:14">
      <c r="A48" t="s">
        <v>13</v>
      </c>
      <c r="C48">
        <f>65*15</f>
        <v>975</v>
      </c>
      <c r="M48">
        <f>65*15</f>
        <v>975</v>
      </c>
      <c r="N48">
        <f>SUM(B48:M48)</f>
        <v>1950</v>
      </c>
    </row>
    <row r="49" spans="1:14">
      <c r="A49" t="s">
        <v>14</v>
      </c>
      <c r="N49">
        <f t="shared" ref="N49:N54" si="5">SUM(B49:M49)</f>
        <v>0</v>
      </c>
    </row>
    <row r="50" spans="1:14">
      <c r="A50" t="s">
        <v>15</v>
      </c>
      <c r="B50" s="2"/>
      <c r="C50" s="2"/>
      <c r="D50" s="2">
        <v>29273</v>
      </c>
      <c r="E50" s="1"/>
      <c r="F50" s="1"/>
      <c r="G50" s="1"/>
      <c r="H50" s="1"/>
      <c r="I50" s="1"/>
      <c r="J50" s="1"/>
      <c r="K50" s="1"/>
      <c r="L50" s="1"/>
      <c r="M50" s="1"/>
      <c r="N50">
        <f t="shared" si="5"/>
        <v>29273</v>
      </c>
    </row>
    <row r="51" spans="1:14">
      <c r="A51" t="s">
        <v>31</v>
      </c>
      <c r="B51" s="2"/>
      <c r="C51" s="2">
        <v>2780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>
        <f t="shared" si="5"/>
        <v>2780</v>
      </c>
    </row>
    <row r="52" spans="1:14">
      <c r="A52" t="s">
        <v>32</v>
      </c>
      <c r="B52" s="2"/>
      <c r="C52" s="2">
        <v>5436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>
        <f t="shared" si="5"/>
        <v>5436</v>
      </c>
    </row>
    <row r="53" spans="1:14">
      <c r="A53" t="s">
        <v>33</v>
      </c>
      <c r="B53" s="2"/>
      <c r="C53" s="2">
        <f>SUM(C51:C52)</f>
        <v>8216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>
        <f t="shared" si="5"/>
        <v>8216</v>
      </c>
    </row>
    <row r="54" spans="1:14">
      <c r="A54" t="s">
        <v>17</v>
      </c>
      <c r="N54">
        <f t="shared" si="5"/>
        <v>0</v>
      </c>
    </row>
    <row r="55" spans="1:14">
      <c r="A55">
        <v>2018</v>
      </c>
    </row>
    <row r="56" spans="1:14">
      <c r="B56" t="s">
        <v>0</v>
      </c>
      <c r="C56" t="s">
        <v>1</v>
      </c>
      <c r="D56" t="s">
        <v>2</v>
      </c>
      <c r="E56" t="s">
        <v>3</v>
      </c>
      <c r="F56" t="s">
        <v>4</v>
      </c>
      <c r="G56" t="s">
        <v>5</v>
      </c>
      <c r="H56" t="s">
        <v>6</v>
      </c>
      <c r="I56" t="s">
        <v>7</v>
      </c>
      <c r="J56" t="s">
        <v>8</v>
      </c>
      <c r="K56" t="s">
        <v>9</v>
      </c>
      <c r="L56" t="s">
        <v>10</v>
      </c>
      <c r="M56" t="s">
        <v>11</v>
      </c>
      <c r="N56" t="s">
        <v>12</v>
      </c>
    </row>
    <row r="57" spans="1:14">
      <c r="A57" t="s">
        <v>13</v>
      </c>
      <c r="M57">
        <f>65*15</f>
        <v>975</v>
      </c>
      <c r="N57">
        <f>SUM(B57:M57)</f>
        <v>975</v>
      </c>
    </row>
    <row r="58" spans="1:14">
      <c r="A58" t="s">
        <v>14</v>
      </c>
      <c r="N58">
        <f t="shared" ref="N58:N63" si="6">SUM(B58:M58)</f>
        <v>0</v>
      </c>
    </row>
    <row r="59" spans="1:14">
      <c r="A59" t="s">
        <v>15</v>
      </c>
      <c r="B59" s="1"/>
      <c r="C59" s="1"/>
      <c r="D59" s="1">
        <v>28946</v>
      </c>
      <c r="E59" s="8">
        <f>(D59-E68)/8</f>
        <v>1731.96875</v>
      </c>
      <c r="F59" s="8">
        <f>E59</f>
        <v>1731.96875</v>
      </c>
      <c r="G59" s="8">
        <f t="shared" ref="G59:L59" si="7">F59</f>
        <v>1731.96875</v>
      </c>
      <c r="H59" s="8">
        <f t="shared" si="7"/>
        <v>1731.96875</v>
      </c>
      <c r="I59" s="8">
        <f t="shared" si="7"/>
        <v>1731.96875</v>
      </c>
      <c r="J59" s="8">
        <f t="shared" si="7"/>
        <v>1731.96875</v>
      </c>
      <c r="K59" s="8">
        <f t="shared" si="7"/>
        <v>1731.96875</v>
      </c>
      <c r="L59" s="8">
        <f t="shared" si="7"/>
        <v>1731.96875</v>
      </c>
      <c r="M59" s="6"/>
      <c r="N59" s="7">
        <f>SUM(C59:M59)</f>
        <v>42801.75</v>
      </c>
    </row>
    <row r="60" spans="1:14">
      <c r="A60" t="s">
        <v>31</v>
      </c>
      <c r="B60" s="1"/>
      <c r="C60" s="1"/>
      <c r="D60" s="1">
        <v>2301</v>
      </c>
      <c r="E60" s="3"/>
      <c r="F60" s="3"/>
      <c r="G60" s="3"/>
      <c r="H60" s="3"/>
      <c r="I60" s="3"/>
      <c r="J60" s="3"/>
      <c r="K60" s="3"/>
      <c r="L60" s="3">
        <v>1570</v>
      </c>
      <c r="M60" s="6"/>
      <c r="N60">
        <f>SUM(B60:M60)</f>
        <v>3871</v>
      </c>
    </row>
    <row r="61" spans="1:14">
      <c r="A61" t="s">
        <v>32</v>
      </c>
      <c r="B61" s="1"/>
      <c r="C61" s="1"/>
      <c r="D61" s="1">
        <v>5002</v>
      </c>
      <c r="E61" s="3"/>
      <c r="F61" s="3"/>
      <c r="G61" s="3"/>
      <c r="H61" s="3"/>
      <c r="I61" s="3"/>
      <c r="J61" s="3"/>
      <c r="K61" s="3"/>
      <c r="L61" s="3">
        <v>3491</v>
      </c>
      <c r="M61" s="6"/>
      <c r="N61">
        <f t="shared" si="6"/>
        <v>8493</v>
      </c>
    </row>
    <row r="62" spans="1:14">
      <c r="A62" t="s">
        <v>33</v>
      </c>
      <c r="B62" s="1"/>
      <c r="C62" s="1"/>
      <c r="D62" s="1">
        <f>SUM(D60:D61)</f>
        <v>7303</v>
      </c>
      <c r="E62" s="3"/>
      <c r="F62" s="3"/>
      <c r="G62" s="3"/>
      <c r="H62" s="3"/>
      <c r="I62" s="3"/>
      <c r="J62" s="3"/>
      <c r="K62" s="3"/>
      <c r="L62" s="3">
        <f>SUM(L60:L61)</f>
        <v>5061</v>
      </c>
      <c r="M62" s="6"/>
      <c r="N62">
        <f t="shared" si="6"/>
        <v>12364</v>
      </c>
    </row>
    <row r="63" spans="1:14">
      <c r="A63" t="s">
        <v>17</v>
      </c>
      <c r="N63">
        <f t="shared" si="6"/>
        <v>0</v>
      </c>
    </row>
    <row r="64" spans="1:14">
      <c r="A64">
        <v>2019</v>
      </c>
    </row>
    <row r="65" spans="1:14">
      <c r="B65" t="s">
        <v>0</v>
      </c>
      <c r="C65" t="s">
        <v>1</v>
      </c>
      <c r="D65" t="s">
        <v>2</v>
      </c>
      <c r="E65" t="s">
        <v>3</v>
      </c>
      <c r="F65" t="s">
        <v>4</v>
      </c>
      <c r="G65" t="s">
        <v>5</v>
      </c>
      <c r="H65" t="s">
        <v>6</v>
      </c>
      <c r="I65" t="s">
        <v>7</v>
      </c>
      <c r="J65" t="s">
        <v>8</v>
      </c>
      <c r="K65" t="s">
        <v>9</v>
      </c>
      <c r="L65" t="s">
        <v>10</v>
      </c>
      <c r="M65" t="s">
        <v>11</v>
      </c>
      <c r="N65" t="s">
        <v>12</v>
      </c>
    </row>
    <row r="66" spans="1:14">
      <c r="A66" t="s">
        <v>13</v>
      </c>
      <c r="L66">
        <f>65*15</f>
        <v>975</v>
      </c>
      <c r="N66">
        <f>SUM(B66:M66)</f>
        <v>975</v>
      </c>
    </row>
    <row r="67" spans="1:14">
      <c r="A67" t="s">
        <v>14</v>
      </c>
      <c r="N67">
        <f t="shared" ref="N67:N72" si="8">SUM(B67:M67)</f>
        <v>0</v>
      </c>
    </row>
    <row r="68" spans="1:14">
      <c r="A68" t="s">
        <v>15</v>
      </c>
      <c r="B68" s="6"/>
      <c r="C68" s="6"/>
      <c r="D68" s="6"/>
      <c r="E68" s="9">
        <v>15090.25</v>
      </c>
      <c r="F68" s="27"/>
      <c r="G68" s="27"/>
      <c r="H68" s="27"/>
      <c r="I68" s="27"/>
      <c r="J68" s="27"/>
      <c r="K68" s="27"/>
      <c r="L68" s="27"/>
      <c r="M68" s="27"/>
      <c r="N68" s="7">
        <f>SUM(B68:M68)</f>
        <v>15090.25</v>
      </c>
    </row>
    <row r="69" spans="1:14">
      <c r="A69" t="s">
        <v>31</v>
      </c>
      <c r="B69" s="6"/>
      <c r="C69" s="6"/>
      <c r="D69" s="6"/>
      <c r="E69" s="6">
        <v>669</v>
      </c>
      <c r="F69" s="28"/>
      <c r="G69" s="28"/>
      <c r="H69" s="28"/>
      <c r="I69" s="28"/>
      <c r="J69" s="28"/>
      <c r="K69" s="28"/>
      <c r="L69" s="28"/>
      <c r="M69" s="28"/>
      <c r="N69">
        <f t="shared" si="8"/>
        <v>669</v>
      </c>
    </row>
    <row r="70" spans="1:14">
      <c r="A70" t="s">
        <v>32</v>
      </c>
      <c r="B70" s="6"/>
      <c r="C70" s="6"/>
      <c r="D70" s="6"/>
      <c r="E70" s="6">
        <v>1788</v>
      </c>
      <c r="F70" s="4"/>
      <c r="G70" s="4"/>
      <c r="H70" s="4"/>
      <c r="I70" s="4"/>
      <c r="J70" s="4"/>
      <c r="K70" s="4"/>
      <c r="L70" s="4"/>
      <c r="M70" s="4"/>
      <c r="N70">
        <f t="shared" si="8"/>
        <v>1788</v>
      </c>
    </row>
    <row r="71" spans="1:14">
      <c r="A71" t="s">
        <v>33</v>
      </c>
      <c r="B71" s="6"/>
      <c r="C71" s="6"/>
      <c r="D71" s="6"/>
      <c r="E71" s="6">
        <f>SUM(E69:E70)</f>
        <v>2457</v>
      </c>
      <c r="F71" s="4"/>
      <c r="G71" s="4"/>
      <c r="H71" s="4"/>
      <c r="I71" s="4"/>
      <c r="J71" s="4"/>
      <c r="K71" s="4"/>
      <c r="L71" s="4"/>
      <c r="M71" s="4"/>
      <c r="N71">
        <f t="shared" si="8"/>
        <v>2457</v>
      </c>
    </row>
    <row r="72" spans="1:14">
      <c r="A72" t="s">
        <v>17</v>
      </c>
      <c r="N72">
        <f t="shared" si="8"/>
        <v>0</v>
      </c>
    </row>
    <row r="73" spans="1:14">
      <c r="A73">
        <v>2020</v>
      </c>
    </row>
    <row r="74" spans="1:14">
      <c r="B74" t="s">
        <v>0</v>
      </c>
      <c r="C74" t="s">
        <v>1</v>
      </c>
      <c r="D74" t="s">
        <v>2</v>
      </c>
      <c r="E74" t="s">
        <v>3</v>
      </c>
      <c r="F74" t="s">
        <v>4</v>
      </c>
      <c r="G74" t="s">
        <v>5</v>
      </c>
      <c r="H74" t="s">
        <v>6</v>
      </c>
      <c r="I74" t="s">
        <v>7</v>
      </c>
      <c r="J74" t="s">
        <v>8</v>
      </c>
      <c r="K74" t="s">
        <v>9</v>
      </c>
      <c r="L74" t="s">
        <v>10</v>
      </c>
      <c r="M74" t="s">
        <v>11</v>
      </c>
      <c r="N74" t="s">
        <v>12</v>
      </c>
    </row>
    <row r="75" spans="1:14">
      <c r="A75" t="s">
        <v>13</v>
      </c>
      <c r="M75">
        <f>65*15</f>
        <v>975</v>
      </c>
      <c r="N75">
        <f>SUM(B75:M75)</f>
        <v>975</v>
      </c>
    </row>
    <row r="76" spans="1:14">
      <c r="A76" t="s">
        <v>14</v>
      </c>
      <c r="N76">
        <f t="shared" ref="N76:N81" si="9">SUM(B76:M76)</f>
        <v>0</v>
      </c>
    </row>
    <row r="77" spans="1:14">
      <c r="A77" t="s">
        <v>34</v>
      </c>
      <c r="B77" s="4"/>
      <c r="C77" s="4"/>
      <c r="D77" s="4">
        <v>17069.45</v>
      </c>
      <c r="E77" s="29"/>
      <c r="F77" s="29"/>
      <c r="G77" s="29"/>
      <c r="H77" s="29"/>
      <c r="I77" s="29"/>
      <c r="J77" s="29"/>
      <c r="K77" s="29"/>
      <c r="L77" s="29"/>
      <c r="M77" s="29"/>
      <c r="N77" s="7">
        <f t="shared" si="9"/>
        <v>17069.45</v>
      </c>
    </row>
    <row r="78" spans="1:14">
      <c r="A78" t="s">
        <v>31</v>
      </c>
      <c r="B78" s="4"/>
      <c r="C78" s="4"/>
      <c r="D78" s="4">
        <v>2445</v>
      </c>
      <c r="E78" s="29"/>
      <c r="F78" s="29"/>
      <c r="G78" s="29"/>
      <c r="H78" s="29"/>
      <c r="I78" s="29"/>
      <c r="J78" s="29"/>
      <c r="K78" s="29"/>
      <c r="L78" s="29"/>
      <c r="M78" s="29"/>
      <c r="N78">
        <f>SUM(B78:M78)</f>
        <v>2445</v>
      </c>
    </row>
    <row r="79" spans="1:14">
      <c r="A79" t="s">
        <v>32</v>
      </c>
      <c r="B79" s="4"/>
      <c r="C79" s="4"/>
      <c r="D79" s="4">
        <v>5078</v>
      </c>
      <c r="E79" s="29"/>
      <c r="F79" s="29"/>
      <c r="G79" s="29"/>
      <c r="H79" s="29"/>
      <c r="I79" s="29"/>
      <c r="J79" s="29"/>
      <c r="K79" s="29"/>
      <c r="L79" s="29"/>
      <c r="M79" s="29"/>
      <c r="N79">
        <f t="shared" si="9"/>
        <v>5078</v>
      </c>
    </row>
    <row r="80" spans="1:14">
      <c r="A80" t="s">
        <v>35</v>
      </c>
      <c r="B80" s="4"/>
      <c r="C80" s="4"/>
      <c r="D80" s="4">
        <f>SUM(D78:D79)</f>
        <v>7523</v>
      </c>
      <c r="E80" s="29"/>
      <c r="F80" s="29"/>
      <c r="G80" s="29"/>
      <c r="H80" s="29"/>
      <c r="I80" s="29"/>
      <c r="J80" s="29"/>
      <c r="K80" s="29"/>
      <c r="L80" s="29"/>
      <c r="M80" s="29"/>
      <c r="N80">
        <f t="shared" si="9"/>
        <v>7523</v>
      </c>
    </row>
    <row r="81" spans="1:14">
      <c r="A81" t="s">
        <v>36</v>
      </c>
      <c r="N81">
        <f t="shared" si="9"/>
        <v>0</v>
      </c>
    </row>
    <row r="82" spans="1:14">
      <c r="A82">
        <v>2021</v>
      </c>
    </row>
    <row r="83" spans="1:14">
      <c r="B83" t="s">
        <v>0</v>
      </c>
      <c r="C83" t="s">
        <v>1</v>
      </c>
      <c r="D83" t="s">
        <v>2</v>
      </c>
      <c r="E83" t="s">
        <v>3</v>
      </c>
      <c r="F83" t="s">
        <v>4</v>
      </c>
      <c r="G83" t="s">
        <v>5</v>
      </c>
      <c r="H83" t="s">
        <v>6</v>
      </c>
      <c r="I83" t="s">
        <v>7</v>
      </c>
      <c r="J83" t="s">
        <v>8</v>
      </c>
      <c r="K83" t="s">
        <v>9</v>
      </c>
      <c r="L83" t="s">
        <v>10</v>
      </c>
      <c r="M83" t="s">
        <v>11</v>
      </c>
      <c r="N83" t="s">
        <v>12</v>
      </c>
    </row>
    <row r="84" spans="1:14">
      <c r="A84" t="s">
        <v>13</v>
      </c>
      <c r="N84">
        <f>SUM(B84:M84)</f>
        <v>0</v>
      </c>
    </row>
    <row r="85" spans="1:14">
      <c r="A85" t="s">
        <v>14</v>
      </c>
      <c r="N85">
        <f t="shared" ref="N85:N90" si="10">SUM(B85:M85)</f>
        <v>0</v>
      </c>
    </row>
    <row r="86" spans="1:14">
      <c r="A86" t="s">
        <v>15</v>
      </c>
      <c r="B86" s="29"/>
      <c r="C86" s="29"/>
      <c r="D86" s="29">
        <v>23904.86</v>
      </c>
      <c r="N86" s="7">
        <f t="shared" si="10"/>
        <v>23904.86</v>
      </c>
    </row>
    <row r="87" spans="1:14">
      <c r="A87" t="s">
        <v>31</v>
      </c>
      <c r="B87" s="29"/>
      <c r="C87" s="29"/>
      <c r="D87" s="29">
        <v>2837</v>
      </c>
      <c r="N87">
        <f t="shared" si="10"/>
        <v>2837</v>
      </c>
    </row>
    <row r="88" spans="1:14">
      <c r="A88" t="s">
        <v>32</v>
      </c>
      <c r="B88" s="29"/>
      <c r="C88" s="29"/>
      <c r="D88" s="29">
        <v>5336</v>
      </c>
      <c r="N88">
        <f t="shared" si="10"/>
        <v>5336</v>
      </c>
    </row>
    <row r="89" spans="1:14">
      <c r="A89" t="s">
        <v>33</v>
      </c>
      <c r="B89" s="29"/>
      <c r="C89" s="29"/>
      <c r="D89" s="29">
        <f>SUM(D87:D88)</f>
        <v>8173</v>
      </c>
      <c r="N89">
        <f t="shared" si="10"/>
        <v>8173</v>
      </c>
    </row>
    <row r="90" spans="1:14">
      <c r="A90" t="s">
        <v>17</v>
      </c>
      <c r="N90">
        <f t="shared" si="10"/>
        <v>0</v>
      </c>
    </row>
    <row r="91" spans="1:14">
      <c r="B91">
        <v>2012</v>
      </c>
      <c r="C91">
        <v>2013</v>
      </c>
      <c r="D91">
        <v>2014</v>
      </c>
      <c r="E91">
        <v>2015</v>
      </c>
      <c r="F91">
        <v>2016</v>
      </c>
      <c r="G91">
        <v>2017</v>
      </c>
      <c r="H91">
        <v>2018</v>
      </c>
      <c r="I91">
        <v>2019</v>
      </c>
      <c r="J91">
        <v>2020</v>
      </c>
      <c r="K91" t="s">
        <v>20</v>
      </c>
    </row>
    <row r="92" spans="1:14">
      <c r="A92" t="s">
        <v>37</v>
      </c>
      <c r="B92" s="11">
        <f>N3</f>
        <v>0</v>
      </c>
      <c r="C92" s="11">
        <f>N12</f>
        <v>2884</v>
      </c>
      <c r="D92" s="11">
        <f>N21</f>
        <v>1718</v>
      </c>
      <c r="E92" s="11">
        <f>N30</f>
        <v>1999</v>
      </c>
      <c r="F92" s="11">
        <f>N39</f>
        <v>2175</v>
      </c>
      <c r="G92" s="11">
        <f>N48</f>
        <v>1950</v>
      </c>
      <c r="H92" s="11">
        <f>N57</f>
        <v>975</v>
      </c>
      <c r="I92" s="11">
        <f>N66</f>
        <v>975</v>
      </c>
      <c r="J92" s="11">
        <f>N75</f>
        <v>975</v>
      </c>
      <c r="K92" s="30">
        <f>SUM(B92:J92)</f>
        <v>13651</v>
      </c>
    </row>
    <row r="93" spans="1:14">
      <c r="A93" t="s">
        <v>38</v>
      </c>
      <c r="B93" s="11">
        <f>B92*5.6</f>
        <v>0</v>
      </c>
      <c r="C93" s="11">
        <f t="shared" ref="C93:J93" si="11">C92*5.6</f>
        <v>16150.4</v>
      </c>
      <c r="D93" s="11">
        <f t="shared" si="11"/>
        <v>9620.7999999999993</v>
      </c>
      <c r="E93" s="11">
        <f t="shared" si="11"/>
        <v>11194.4</v>
      </c>
      <c r="F93" s="11">
        <f t="shared" si="11"/>
        <v>12180</v>
      </c>
      <c r="G93" s="11">
        <f t="shared" si="11"/>
        <v>10920</v>
      </c>
      <c r="H93" s="11">
        <f t="shared" si="11"/>
        <v>5460</v>
      </c>
      <c r="I93" s="11">
        <f t="shared" si="11"/>
        <v>5460</v>
      </c>
      <c r="J93" s="11">
        <f t="shared" si="11"/>
        <v>5460</v>
      </c>
      <c r="K93" s="30">
        <f t="shared" ref="K93:K98" si="12">SUM(B93:J93)</f>
        <v>76445.600000000006</v>
      </c>
    </row>
    <row r="94" spans="1:14">
      <c r="A94" t="s">
        <v>39</v>
      </c>
      <c r="B94" s="11">
        <v>0</v>
      </c>
      <c r="C94" s="12">
        <f>N4</f>
        <v>2000</v>
      </c>
      <c r="D94" s="12">
        <f>N22</f>
        <v>2000</v>
      </c>
      <c r="E94" s="12">
        <f>N22</f>
        <v>2000</v>
      </c>
      <c r="F94" s="11">
        <f t="shared" ref="F94" si="13">N40</f>
        <v>0</v>
      </c>
      <c r="G94" s="11">
        <f t="shared" ref="G94" si="14">N49</f>
        <v>0</v>
      </c>
      <c r="H94" s="11">
        <f t="shared" ref="H94" si="15">N58</f>
        <v>0</v>
      </c>
      <c r="I94" s="11">
        <f t="shared" ref="I94" si="16">N67</f>
        <v>0</v>
      </c>
      <c r="K94" s="30">
        <f t="shared" si="12"/>
        <v>6000</v>
      </c>
    </row>
    <row r="95" spans="1:14">
      <c r="A95" t="s">
        <v>40</v>
      </c>
      <c r="B95" s="11">
        <f>B94*10.4</f>
        <v>0</v>
      </c>
      <c r="C95" s="11">
        <f>C94*10.4</f>
        <v>20800</v>
      </c>
      <c r="D95" s="11">
        <f>D94*10.4</f>
        <v>20800</v>
      </c>
      <c r="E95" s="11">
        <f>E94*10.4</f>
        <v>20800</v>
      </c>
      <c r="F95" s="11">
        <f t="shared" ref="F95:I95" si="17">F94*10.4</f>
        <v>0</v>
      </c>
      <c r="G95" s="11">
        <f t="shared" si="17"/>
        <v>0</v>
      </c>
      <c r="H95" s="11">
        <f t="shared" si="17"/>
        <v>0</v>
      </c>
      <c r="I95" s="11">
        <f t="shared" si="17"/>
        <v>0</v>
      </c>
      <c r="K95" s="30">
        <f t="shared" si="12"/>
        <v>62400</v>
      </c>
    </row>
    <row r="96" spans="1:14">
      <c r="A96" t="s">
        <v>41</v>
      </c>
      <c r="B96" s="11">
        <f>N5</f>
        <v>0</v>
      </c>
      <c r="C96" s="11">
        <f>N23</f>
        <v>0</v>
      </c>
      <c r="D96" s="11">
        <f>N23</f>
        <v>0</v>
      </c>
      <c r="E96" s="11">
        <f>N32</f>
        <v>0</v>
      </c>
      <c r="F96" s="11">
        <f>N41</f>
        <v>0</v>
      </c>
      <c r="G96" s="11">
        <f>N50</f>
        <v>29273</v>
      </c>
      <c r="H96" s="11">
        <f>N59</f>
        <v>42801.75</v>
      </c>
      <c r="I96" s="11">
        <f>N68</f>
        <v>15090.25</v>
      </c>
      <c r="J96" s="7">
        <f>N77</f>
        <v>17069.45</v>
      </c>
      <c r="K96" s="30">
        <f>SUM(B96:J96)</f>
        <v>104234.45</v>
      </c>
    </row>
    <row r="97" spans="1:11">
      <c r="A97" t="s">
        <v>42</v>
      </c>
      <c r="B97" s="11">
        <f>N6</f>
        <v>0</v>
      </c>
      <c r="C97" s="11">
        <f>N24</f>
        <v>694</v>
      </c>
      <c r="D97" s="11">
        <f>N24</f>
        <v>694</v>
      </c>
      <c r="E97" s="11">
        <f>N33</f>
        <v>2728</v>
      </c>
      <c r="F97" s="11">
        <f>N42</f>
        <v>2632</v>
      </c>
      <c r="G97" s="11">
        <f>N51</f>
        <v>2780</v>
      </c>
      <c r="H97" s="11">
        <f>N60</f>
        <v>3871</v>
      </c>
      <c r="I97" s="11">
        <f>N69</f>
        <v>669</v>
      </c>
      <c r="J97" s="7">
        <f t="shared" ref="J97:J99" si="18">N78</f>
        <v>2445</v>
      </c>
      <c r="K97" s="30">
        <f t="shared" si="12"/>
        <v>16513</v>
      </c>
    </row>
    <row r="98" spans="1:11">
      <c r="A98" t="s">
        <v>43</v>
      </c>
      <c r="B98" s="11">
        <f>N7</f>
        <v>0</v>
      </c>
      <c r="C98" s="11">
        <f>N25</f>
        <v>1191</v>
      </c>
      <c r="D98" s="11">
        <f>N25</f>
        <v>1191</v>
      </c>
      <c r="E98" s="11">
        <f>N34</f>
        <v>5279</v>
      </c>
      <c r="F98" s="11">
        <f>N43</f>
        <v>4797</v>
      </c>
      <c r="G98" s="11">
        <f>N52</f>
        <v>5436</v>
      </c>
      <c r="H98" s="11">
        <f>N61</f>
        <v>8493</v>
      </c>
      <c r="I98" s="11">
        <f>N70</f>
        <v>1788</v>
      </c>
      <c r="J98" s="7">
        <f t="shared" si="18"/>
        <v>5078</v>
      </c>
      <c r="K98" s="30">
        <f t="shared" si="12"/>
        <v>33253</v>
      </c>
    </row>
    <row r="99" spans="1:11">
      <c r="A99" t="s">
        <v>44</v>
      </c>
      <c r="B99" s="11">
        <f>N8</f>
        <v>0</v>
      </c>
      <c r="C99" s="11">
        <f>N17</f>
        <v>6720</v>
      </c>
      <c r="D99" s="11">
        <f>N26</f>
        <v>1885</v>
      </c>
      <c r="E99" s="11">
        <f>N35</f>
        <v>8007</v>
      </c>
      <c r="F99" s="11">
        <f>N44</f>
        <v>7429</v>
      </c>
      <c r="G99" s="11">
        <f>N53</f>
        <v>8216</v>
      </c>
      <c r="H99" s="11">
        <f>N62</f>
        <v>12364</v>
      </c>
      <c r="I99" s="11">
        <f>N71</f>
        <v>2457</v>
      </c>
      <c r="J99" s="7">
        <f t="shared" si="18"/>
        <v>7523</v>
      </c>
      <c r="K99" s="30">
        <f>SUM(B99:J99)</f>
        <v>54601</v>
      </c>
    </row>
    <row r="100" spans="1:11">
      <c r="A100" t="s">
        <v>21</v>
      </c>
      <c r="B100" s="11">
        <v>3263.74</v>
      </c>
      <c r="C100" s="11"/>
      <c r="D100" s="11"/>
      <c r="E100" s="11"/>
      <c r="F100" s="13">
        <v>6000</v>
      </c>
      <c r="G100" s="11"/>
      <c r="H100" s="11"/>
      <c r="I100" s="11"/>
      <c r="K100" s="30">
        <f>SUM(B100:J100)</f>
        <v>9263.74</v>
      </c>
    </row>
    <row r="102" spans="1:11">
      <c r="B102">
        <v>2012</v>
      </c>
      <c r="C102">
        <v>2013</v>
      </c>
      <c r="D102">
        <v>2014</v>
      </c>
      <c r="E102">
        <v>2015</v>
      </c>
      <c r="F102">
        <v>2016</v>
      </c>
      <c r="G102">
        <v>2017</v>
      </c>
      <c r="H102">
        <v>2018</v>
      </c>
      <c r="I102">
        <v>2019</v>
      </c>
      <c r="J102">
        <v>2020</v>
      </c>
      <c r="K102" t="s">
        <v>20</v>
      </c>
    </row>
    <row r="104" spans="1:11">
      <c r="A104" s="10" t="s">
        <v>45</v>
      </c>
    </row>
    <row r="105" spans="1:11">
      <c r="A105" t="s">
        <v>46</v>
      </c>
      <c r="B105" s="11">
        <f>N3</f>
        <v>0</v>
      </c>
      <c r="C105" s="11">
        <f>D12+K12</f>
        <v>2100</v>
      </c>
      <c r="D105" s="11">
        <f>M12+D21+L21</f>
        <v>1718</v>
      </c>
      <c r="E105" s="11">
        <f>M21+E30+K30</f>
        <v>1999</v>
      </c>
      <c r="F105" s="11">
        <f>B39+D39+K39*4/5</f>
        <v>1980</v>
      </c>
      <c r="G105" s="11">
        <f>K39*1/5+C48</f>
        <v>1170</v>
      </c>
      <c r="H105" s="11">
        <f>M48</f>
        <v>975</v>
      </c>
      <c r="I105" s="31">
        <f>M57+L66*1/6</f>
        <v>1137.5</v>
      </c>
      <c r="J105" s="31">
        <f>L66*5/6+M75*1/6</f>
        <v>975</v>
      </c>
      <c r="K105" s="30">
        <f t="shared" ref="K105:K112" si="19">SUM(B105:J105)</f>
        <v>12054.5</v>
      </c>
    </row>
    <row r="106" spans="1:11">
      <c r="A106" t="s">
        <v>47</v>
      </c>
      <c r="B106" s="11">
        <f>B105*5.6</f>
        <v>0</v>
      </c>
      <c r="C106" s="11">
        <f t="shared" ref="C106:J106" si="20">C105*5.6</f>
        <v>11760</v>
      </c>
      <c r="D106" s="11">
        <f t="shared" si="20"/>
        <v>9620.7999999999993</v>
      </c>
      <c r="E106" s="11">
        <f t="shared" si="20"/>
        <v>11194.4</v>
      </c>
      <c r="F106" s="11">
        <f t="shared" si="20"/>
        <v>11088</v>
      </c>
      <c r="G106" s="11">
        <f t="shared" si="20"/>
        <v>6552</v>
      </c>
      <c r="H106" s="11">
        <f t="shared" si="20"/>
        <v>5460</v>
      </c>
      <c r="I106" s="11">
        <f t="shared" si="20"/>
        <v>6370</v>
      </c>
      <c r="J106" s="11">
        <f t="shared" si="20"/>
        <v>5460</v>
      </c>
      <c r="K106" s="30">
        <f t="shared" si="19"/>
        <v>67505.2</v>
      </c>
    </row>
    <row r="107" spans="1:11">
      <c r="A107" t="s">
        <v>48</v>
      </c>
      <c r="B107" s="13">
        <f>2000*2/6</f>
        <v>666.66666666666663</v>
      </c>
      <c r="C107" s="11">
        <f>M4</f>
        <v>2000</v>
      </c>
      <c r="D107" s="11">
        <f>B13</f>
        <v>2000</v>
      </c>
      <c r="E107" s="11">
        <f>C22</f>
        <v>2000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30">
        <f t="shared" si="19"/>
        <v>6666.6666666666661</v>
      </c>
    </row>
    <row r="108" spans="1:11">
      <c r="A108" t="s">
        <v>40</v>
      </c>
      <c r="B108" s="11">
        <f>B107*10.4</f>
        <v>6933.333333333333</v>
      </c>
      <c r="C108" s="11">
        <f t="shared" ref="C108:I108" si="21">C107*10.4</f>
        <v>20800</v>
      </c>
      <c r="D108" s="11">
        <f t="shared" si="21"/>
        <v>20800</v>
      </c>
      <c r="E108" s="11">
        <f t="shared" si="21"/>
        <v>20800</v>
      </c>
      <c r="F108" s="11">
        <f t="shared" si="21"/>
        <v>0</v>
      </c>
      <c r="G108" s="11">
        <f t="shared" si="21"/>
        <v>0</v>
      </c>
      <c r="H108" s="11">
        <f t="shared" si="21"/>
        <v>0</v>
      </c>
      <c r="I108" s="11">
        <f t="shared" si="21"/>
        <v>0</v>
      </c>
      <c r="J108" s="11">
        <f t="shared" ref="J108" si="22">J107*10.4</f>
        <v>0</v>
      </c>
      <c r="K108" s="30">
        <f t="shared" si="19"/>
        <v>69333.333333333328</v>
      </c>
    </row>
    <row r="109" spans="1:11">
      <c r="A109" t="s">
        <v>41</v>
      </c>
      <c r="B109" s="11">
        <v>0</v>
      </c>
      <c r="C109" s="11">
        <v>0</v>
      </c>
      <c r="D109" s="11">
        <v>0</v>
      </c>
      <c r="E109" s="11">
        <v>0</v>
      </c>
      <c r="F109" s="11">
        <f>D50*8/12</f>
        <v>19515.333333333332</v>
      </c>
      <c r="G109" s="11">
        <f>D50*4/12+D59*8/12</f>
        <v>29055</v>
      </c>
      <c r="H109" s="11">
        <f>D59*4/12+SUM(E59:L59)+E68*1/5</f>
        <v>26522.466666666664</v>
      </c>
      <c r="I109" s="11">
        <f>E68*4/5+D77*3/6</f>
        <v>20606.925000000003</v>
      </c>
      <c r="J109" s="11">
        <f>D77*3/11+D86*9/12</f>
        <v>22583.949545454547</v>
      </c>
      <c r="K109" s="30">
        <f t="shared" si="19"/>
        <v>118283.67454545453</v>
      </c>
    </row>
    <row r="110" spans="1:11">
      <c r="A110" t="s">
        <v>49</v>
      </c>
      <c r="B110" s="11">
        <f>D15/2</f>
        <v>376</v>
      </c>
      <c r="C110" s="11">
        <f>D15/2+L15+M15</f>
        <v>2358</v>
      </c>
      <c r="D110" s="11">
        <f>D24+D33*9/12</f>
        <v>2740</v>
      </c>
      <c r="E110" s="11">
        <f>D33*3/12+C42*9/11</f>
        <v>2835.4545454545455</v>
      </c>
      <c r="F110" s="11">
        <f>C42*2/11+C51*10/12</f>
        <v>2795.212121212121</v>
      </c>
      <c r="G110" s="11">
        <f>C51*2/12+D60*10/13</f>
        <v>2233.3333333333335</v>
      </c>
      <c r="H110" s="11">
        <f>D60*3/13+L60+E69*1/5</f>
        <v>2234.8000000000002</v>
      </c>
      <c r="I110" s="11">
        <f>E69*4/5+D78*8/11</f>
        <v>2313.3818181818183</v>
      </c>
      <c r="J110" s="11">
        <f>D78*3/11+D87*9/12</f>
        <v>2794.568181818182</v>
      </c>
      <c r="K110" s="30">
        <f t="shared" si="19"/>
        <v>20680.75</v>
      </c>
    </row>
    <row r="111" spans="1:11">
      <c r="A111" t="s">
        <v>50</v>
      </c>
      <c r="B111" s="11">
        <f>D16/2</f>
        <v>333</v>
      </c>
      <c r="C111" s="11">
        <f>D16/2+L16+M16</f>
        <v>3653</v>
      </c>
      <c r="D111" s="11">
        <f>D25+D34*9/12</f>
        <v>5150.25</v>
      </c>
      <c r="E111" s="11">
        <f>D34*3/12+C43*9/11</f>
        <v>5244.568181818182</v>
      </c>
      <c r="F111" s="11">
        <f>C43*2/11+C52*10/12</f>
        <v>5402.181818181818</v>
      </c>
      <c r="G111" s="11">
        <f>C52*2/12+D61*10/13</f>
        <v>4753.6923076923076</v>
      </c>
      <c r="H111" s="11">
        <f>D61*3/13+L61+E70*1/5</f>
        <v>5002.9076923076927</v>
      </c>
      <c r="I111" s="11">
        <f>E70*4/5+D79*8/11</f>
        <v>5123.4909090909096</v>
      </c>
      <c r="J111" s="11">
        <f t="shared" ref="J111" si="23">D79*3/11+D88*9/12</f>
        <v>5386.909090909091</v>
      </c>
      <c r="K111" s="30">
        <f t="shared" si="19"/>
        <v>40050</v>
      </c>
    </row>
    <row r="112" spans="1:11">
      <c r="A112" t="s">
        <v>51</v>
      </c>
      <c r="B112" s="11">
        <f>D17/2</f>
        <v>709</v>
      </c>
      <c r="C112" s="11">
        <f>D17/2+L17+M17</f>
        <v>6011</v>
      </c>
      <c r="D112" s="11">
        <f>D26+D35*9/12</f>
        <v>7890.25</v>
      </c>
      <c r="E112" s="11">
        <f>D35*3/12+C44*9/11</f>
        <v>8080.022727272727</v>
      </c>
      <c r="F112" s="11">
        <f>C44*2/11+C53*10/12</f>
        <v>8197.3939393939399</v>
      </c>
      <c r="G112" s="11">
        <f>C53*2/12+D62*10/13</f>
        <v>6987.0256410256407</v>
      </c>
      <c r="H112" s="11">
        <f>D62*3/13+L62+E71*1/5</f>
        <v>7237.707692307692</v>
      </c>
      <c r="I112" s="11">
        <f>E71*4/5+D80*8/11</f>
        <v>7436.8727272727265</v>
      </c>
      <c r="J112" s="11">
        <f>D80*3/11+D89*9/12</f>
        <v>8181.4772727272721</v>
      </c>
      <c r="K112" s="30">
        <f t="shared" si="19"/>
        <v>60730.75</v>
      </c>
    </row>
    <row r="113" spans="1:14">
      <c r="A113" t="s">
        <v>21</v>
      </c>
    </row>
    <row r="114" spans="1:14">
      <c r="B114">
        <v>2012</v>
      </c>
      <c r="C114">
        <v>2013</v>
      </c>
      <c r="D114">
        <v>2014</v>
      </c>
      <c r="E114">
        <v>2015</v>
      </c>
      <c r="F114">
        <v>2016</v>
      </c>
      <c r="G114">
        <v>2017</v>
      </c>
      <c r="H114">
        <v>2018</v>
      </c>
      <c r="I114">
        <v>2019</v>
      </c>
      <c r="J114">
        <v>2020</v>
      </c>
      <c r="K114" t="s">
        <v>20</v>
      </c>
      <c r="L114" t="s">
        <v>52</v>
      </c>
      <c r="M114" t="s">
        <v>53</v>
      </c>
      <c r="N114" t="s">
        <v>54</v>
      </c>
    </row>
    <row r="115" spans="1:14">
      <c r="A115" t="s">
        <v>55</v>
      </c>
      <c r="B115" s="11">
        <f>SUM(B106,B108,B109)</f>
        <v>6933.333333333333</v>
      </c>
      <c r="C115" s="11">
        <f t="shared" ref="C115:I115" si="24">SUM(C106,C108,C109)</f>
        <v>32560</v>
      </c>
      <c r="D115" s="11">
        <f t="shared" si="24"/>
        <v>30420.799999999999</v>
      </c>
      <c r="E115" s="11">
        <f t="shared" si="24"/>
        <v>31994.400000000001</v>
      </c>
      <c r="F115" s="11">
        <f t="shared" si="24"/>
        <v>30603.333333333332</v>
      </c>
      <c r="G115" s="11">
        <f t="shared" si="24"/>
        <v>35607</v>
      </c>
      <c r="H115" s="11">
        <f t="shared" si="24"/>
        <v>31982.466666666664</v>
      </c>
      <c r="I115" s="11">
        <f t="shared" si="24"/>
        <v>26976.925000000003</v>
      </c>
      <c r="J115" s="11">
        <f>SUM(J106,J108,J109)</f>
        <v>28043.949545454547</v>
      </c>
      <c r="K115" s="11">
        <f>SUM(B115:J115)</f>
        <v>255122.20787878791</v>
      </c>
      <c r="L115" s="11">
        <f>K115/8.25</f>
        <v>30923.903985307625</v>
      </c>
      <c r="M115" s="11">
        <f>AVERAGE(G115:I115)</f>
        <v>31522.130555555555</v>
      </c>
      <c r="N115" s="11">
        <f>M115/150</f>
        <v>210.14753703703704</v>
      </c>
    </row>
    <row r="116" spans="1:14">
      <c r="A116" t="s">
        <v>56</v>
      </c>
      <c r="B116" s="11">
        <v>2327</v>
      </c>
      <c r="C116" s="11">
        <v>2537</v>
      </c>
      <c r="D116" s="11">
        <v>1828</v>
      </c>
      <c r="E116" s="11">
        <v>2112</v>
      </c>
      <c r="F116" s="11">
        <v>2330</v>
      </c>
      <c r="G116" s="11">
        <v>2155</v>
      </c>
      <c r="H116" s="11">
        <v>2091</v>
      </c>
      <c r="I116" s="11">
        <v>2076</v>
      </c>
      <c r="J116" s="11">
        <v>1867</v>
      </c>
      <c r="K116" s="11"/>
      <c r="L116" s="11"/>
      <c r="M116" s="11"/>
      <c r="N116" s="11"/>
    </row>
    <row r="117" spans="1:14">
      <c r="A117" t="s">
        <v>57</v>
      </c>
      <c r="B117" s="11">
        <f>B115*2031/B116</f>
        <v>6051.3966480446925</v>
      </c>
      <c r="C117" s="11">
        <f t="shared" ref="C117:J117" si="25">C115*2031/C116</f>
        <v>26065.967678360266</v>
      </c>
      <c r="D117" s="11">
        <f t="shared" si="25"/>
        <v>33799.039824945292</v>
      </c>
      <c r="E117" s="11">
        <f t="shared" si="25"/>
        <v>30767.342045454548</v>
      </c>
      <c r="F117" s="11">
        <f t="shared" si="25"/>
        <v>26676.124463519314</v>
      </c>
      <c r="G117" s="11">
        <f t="shared" si="25"/>
        <v>33558.151740139212</v>
      </c>
      <c r="H117" s="11">
        <f t="shared" si="25"/>
        <v>31064.748828311811</v>
      </c>
      <c r="I117" s="11">
        <f t="shared" si="25"/>
        <v>26392.165065028905</v>
      </c>
      <c r="J117" s="11">
        <f t="shared" si="25"/>
        <v>30507.370930272195</v>
      </c>
      <c r="K117" s="11">
        <f>SUM(B117:J117)</f>
        <v>244882.30722407621</v>
      </c>
      <c r="L117" s="11">
        <f>K117/8.25</f>
        <v>29682.703905948631</v>
      </c>
      <c r="M117" s="11">
        <f>AVERAGE(G117:I117)</f>
        <v>30338.355211159975</v>
      </c>
      <c r="N117" s="11">
        <f>M117/150</f>
        <v>202.25570140773317</v>
      </c>
    </row>
    <row r="118" spans="1:14">
      <c r="A118" s="14" t="s">
        <v>51</v>
      </c>
      <c r="B118" s="15">
        <f>B112</f>
        <v>709</v>
      </c>
      <c r="C118" s="15">
        <f t="shared" ref="C118:I118" si="26">C112</f>
        <v>6011</v>
      </c>
      <c r="D118" s="15">
        <f t="shared" si="26"/>
        <v>7890.25</v>
      </c>
      <c r="E118" s="15">
        <f t="shared" si="26"/>
        <v>8080.022727272727</v>
      </c>
      <c r="F118" s="15">
        <f t="shared" si="26"/>
        <v>8197.3939393939399</v>
      </c>
      <c r="G118" s="15">
        <f t="shared" si="26"/>
        <v>6987.0256410256407</v>
      </c>
      <c r="H118" s="15">
        <f t="shared" si="26"/>
        <v>7237.707692307692</v>
      </c>
      <c r="I118" s="15">
        <f t="shared" si="26"/>
        <v>7436.8727272727265</v>
      </c>
      <c r="J118" s="15">
        <f t="shared" ref="J118" si="27">J112</f>
        <v>8181.4772727272721</v>
      </c>
      <c r="K118" s="15">
        <f>SUM(B118:J118)</f>
        <v>60730.75</v>
      </c>
      <c r="L118" s="15">
        <f>K118/8.25</f>
        <v>7361.30303030303</v>
      </c>
      <c r="M118" s="15">
        <f>AVERAGE(G118:I118)</f>
        <v>7220.5353535353534</v>
      </c>
      <c r="N118" s="15">
        <f t="shared" ref="N118" si="28">M118/150</f>
        <v>48.136902356902354</v>
      </c>
    </row>
    <row r="119" spans="1:14">
      <c r="A119" t="s">
        <v>58</v>
      </c>
      <c r="B119" s="11">
        <f>SUM(B115,B118)</f>
        <v>7642.333333333333</v>
      </c>
      <c r="C119" s="11">
        <f t="shared" ref="C119:I119" si="29">SUM(C115,C118)</f>
        <v>38571</v>
      </c>
      <c r="D119" s="11">
        <f t="shared" si="29"/>
        <v>38311.050000000003</v>
      </c>
      <c r="E119" s="11">
        <f t="shared" si="29"/>
        <v>40074.422727272729</v>
      </c>
      <c r="F119" s="11">
        <f t="shared" si="29"/>
        <v>38800.727272727272</v>
      </c>
      <c r="G119" s="11">
        <f t="shared" si="29"/>
        <v>42594.025641025641</v>
      </c>
      <c r="H119" s="11">
        <f t="shared" si="29"/>
        <v>39220.174358974356</v>
      </c>
      <c r="I119" s="11">
        <f t="shared" si="29"/>
        <v>34413.797727272729</v>
      </c>
      <c r="J119" s="11">
        <f t="shared" ref="J119" si="30">SUM(J115:J118)</f>
        <v>68599.797748454002</v>
      </c>
      <c r="K119" s="11">
        <f>SUM(B119:J119)</f>
        <v>348227.32880906004</v>
      </c>
      <c r="L119" s="11">
        <f>SUM(L115,L118)</f>
        <v>38285.207015610657</v>
      </c>
      <c r="M119" s="11">
        <f t="shared" ref="M119:N119" si="31">SUM(M115,M118)</f>
        <v>38742.665909090909</v>
      </c>
      <c r="N119" s="11">
        <f t="shared" si="31"/>
        <v>258.28443939393941</v>
      </c>
    </row>
    <row r="120" spans="1:14">
      <c r="A120" t="s">
        <v>59</v>
      </c>
      <c r="B120" s="17">
        <f>SUM(B117,B118)</f>
        <v>6760.3966480446925</v>
      </c>
      <c r="C120" s="17">
        <f t="shared" ref="C120:I120" si="32">SUM(C117,C118)</f>
        <v>32076.967678360266</v>
      </c>
      <c r="D120" s="17">
        <f t="shared" si="32"/>
        <v>41689.289824945292</v>
      </c>
      <c r="E120" s="17">
        <f t="shared" si="32"/>
        <v>38847.364772727276</v>
      </c>
      <c r="F120" s="17">
        <f t="shared" si="32"/>
        <v>34873.518402913251</v>
      </c>
      <c r="G120" s="17">
        <f t="shared" si="32"/>
        <v>40545.177381164853</v>
      </c>
      <c r="H120" s="17">
        <f t="shared" si="32"/>
        <v>38302.456520619504</v>
      </c>
      <c r="I120" s="17">
        <f t="shared" si="32"/>
        <v>33829.037792301635</v>
      </c>
      <c r="J120" s="17">
        <f>SUM(J117,J118)</f>
        <v>38688.848202999463</v>
      </c>
      <c r="K120" s="11">
        <f>SUM(B120:J120)</f>
        <v>305613.05722407624</v>
      </c>
      <c r="L120" s="17">
        <f>SUM(L117,L118)</f>
        <v>37044.006936251659</v>
      </c>
      <c r="M120" s="17">
        <f t="shared" ref="M120:N120" si="33">SUM(M117,M118)</f>
        <v>37558.890564695328</v>
      </c>
      <c r="N120" s="17">
        <f t="shared" si="33"/>
        <v>250.39260376463551</v>
      </c>
    </row>
  </sheetData>
  <phoneticPr fontId="7" type="noConversion"/>
  <hyperlinks>
    <hyperlink ref="I109" r:id="rId1" display="x@" xr:uid="{FAECE2DC-A833-284A-A251-FBB729473F05}"/>
  </hyperlinks>
  <pageMargins left="0.75000000000000011" right="0.75000000000000011" top="1" bottom="1" header="0.5" footer="0.5"/>
  <pageSetup paperSize="9" scale="89" orientation="landscape" horizontalDpi="4294967292" verticalDpi="4294967292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zoomScale="171" zoomScaleNormal="171" workbookViewId="0">
      <selection activeCell="A18" sqref="A18"/>
    </sheetView>
  </sheetViews>
  <sheetFormatPr defaultColWidth="11" defaultRowHeight="15.95"/>
  <cols>
    <col min="1" max="1" width="42.875" bestFit="1" customWidth="1"/>
    <col min="2" max="2" width="6.75" bestFit="1" customWidth="1"/>
  </cols>
  <sheetData>
    <row r="1" spans="1:2">
      <c r="A1" s="10" t="s">
        <v>60</v>
      </c>
      <c r="B1" s="19" t="s">
        <v>61</v>
      </c>
    </row>
    <row r="2" spans="1:2">
      <c r="A2" t="s">
        <v>62</v>
      </c>
      <c r="B2" s="18">
        <v>41214</v>
      </c>
    </row>
    <row r="3" spans="1:2">
      <c r="A3" t="s">
        <v>63</v>
      </c>
      <c r="B3" s="18">
        <v>41275</v>
      </c>
    </row>
    <row r="4" spans="1:2">
      <c r="A4" t="s">
        <v>64</v>
      </c>
      <c r="B4" s="18">
        <v>42461</v>
      </c>
    </row>
    <row r="5" spans="1:2">
      <c r="A5" t="s">
        <v>65</v>
      </c>
      <c r="B5" s="18">
        <v>42522</v>
      </c>
    </row>
    <row r="6" spans="1:2">
      <c r="A6" t="s">
        <v>66</v>
      </c>
      <c r="B6" s="18">
        <v>43313</v>
      </c>
    </row>
    <row r="7" spans="1:2">
      <c r="A7" t="s">
        <v>67</v>
      </c>
      <c r="B7" s="18">
        <v>43983</v>
      </c>
    </row>
    <row r="8" spans="1:2">
      <c r="A8" t="s">
        <v>68</v>
      </c>
      <c r="B8" s="18">
        <v>43831</v>
      </c>
    </row>
    <row r="9" spans="1:2">
      <c r="A9" t="s">
        <v>69</v>
      </c>
      <c r="B9" s="18">
        <v>44044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nergyVille Documents Project" ma:contentTypeID="0x01010038FAEB89A73F67439F5DC0DB35A183E500E5AFA70C411DBC4CB1299E2954372C0C" ma:contentTypeVersion="34" ma:contentTypeDescription="" ma:contentTypeScope="" ma:versionID="46ab6a94a238dead946b77f38b70e6ed">
  <xsd:schema xmlns:xsd="http://www.w3.org/2001/XMLSchema" xmlns:xs="http://www.w3.org/2001/XMLSchema" xmlns:p="http://schemas.microsoft.com/office/2006/metadata/properties" xmlns:ns2="668e49d9-a7cc-4463-bf33-58993a54cc59" xmlns:ns3="e56da308-88d8-484b-91ed-aa76d572f01e" targetNamespace="http://schemas.microsoft.com/office/2006/metadata/properties" ma:root="true" ma:fieldsID="39c4388a2a72194ef8a59f21e4c9cc2d" ns2:_="" ns3:_="">
    <xsd:import namespace="668e49d9-a7cc-4463-bf33-58993a54cc59"/>
    <xsd:import namespace="e56da308-88d8-484b-91ed-aa76d572f01e"/>
    <xsd:element name="properties">
      <xsd:complexType>
        <xsd:sequence>
          <xsd:element name="documentManagement">
            <xsd:complexType>
              <xsd:all>
                <xsd:element ref="ns2:Task" minOccurs="0"/>
                <xsd:element ref="ns2:Authors" minOccurs="0"/>
                <xsd:element ref="ns2:Roadmap" minOccurs="0"/>
                <xsd:element ref="ns2:Usage" minOccurs="0"/>
                <xsd:element ref="ns2:Owner_x0028_s_x0029_" minOccurs="0"/>
                <xsd:element ref="ns2:Due_x0020_by" minOccurs="0"/>
                <xsd:element ref="ns3:Folder" minOccurs="0"/>
                <xsd:element ref="ns3:MeetingData" minOccurs="0"/>
                <xsd:element ref="ns3:event"/>
                <xsd:element ref="ns3:Workpackage"/>
                <xsd:element ref="ns2:ef5918871aac4949adbf9c1884f810c2" minOccurs="0"/>
                <xsd:element ref="ns2:p0d8e8f002cf4aa0b1be8c688fa59aed" minOccurs="0"/>
                <xsd:element ref="ns2:hd7464b74e444de1aa82028733c08f6d" minOccurs="0"/>
                <xsd:element ref="ns2:TaxCatchAllLabel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49d9-a7cc-4463-bf33-58993a54cc59" elementFormDefault="qualified">
    <xsd:import namespace="http://schemas.microsoft.com/office/2006/documentManagement/types"/>
    <xsd:import namespace="http://schemas.microsoft.com/office/infopath/2007/PartnerControls"/>
    <xsd:element name="Task" ma:index="2" nillable="true" ma:displayName="Task" ma:format="Dropdown" ma:internalName="Task" ma:readOnly="false">
      <xsd:simpleType>
        <xsd:restriction base="dms:Choice">
          <xsd:enumeration value="T1.1"/>
          <xsd:enumeration value="T1.2"/>
          <xsd:enumeration value="T1.3"/>
          <xsd:enumeration value="T2.1"/>
          <xsd:enumeration value="T2.2"/>
          <xsd:enumeration value="T2.3"/>
          <xsd:enumeration value="T3.1"/>
          <xsd:enumeration value="T3.2"/>
          <xsd:enumeration value="T3.3"/>
          <xsd:enumeration value="T4.1"/>
          <xsd:enumeration value="T4.2"/>
          <xsd:enumeration value="T4.3"/>
          <xsd:enumeration value="T5.1"/>
          <xsd:enumeration value="T5.2"/>
          <xsd:enumeration value="T5.3"/>
          <xsd:enumeration value="T6.1"/>
          <xsd:enumeration value="T6.2"/>
          <xsd:enumeration value="T6.3"/>
          <xsd:enumeration value="T6.4"/>
          <xsd:enumeration value="T7.1"/>
          <xsd:enumeration value="T7.2"/>
          <xsd:enumeration value="T7.3"/>
          <xsd:enumeration value="Not applicable"/>
          <xsd:maxLength value="255"/>
        </xsd:restriction>
      </xsd:simpleType>
    </xsd:element>
    <xsd:element name="Authors" ma:index="5" nillable="true" ma:displayName="Authors" ma:list="UserInfo" ma:SharePointGroup="0" ma:internalName="Authors" ma:readOnly="fals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oadmap" ma:index="7" nillable="true" ma:displayName="Roadmap" ma:internalName="Roadmap" ma:readOnly="false">
      <xsd:simpleType>
        <xsd:restriction base="dms:Text">
          <xsd:maxLength value="255"/>
        </xsd:restriction>
      </xsd:simpleType>
    </xsd:element>
    <xsd:element name="Usage" ma:index="8" nillable="true" ma:displayName="Usage" ma:internalName="Usage" ma:readOnly="false">
      <xsd:simpleType>
        <xsd:restriction base="dms:Text">
          <xsd:maxLength value="255"/>
        </xsd:restriction>
      </xsd:simpleType>
    </xsd:element>
    <xsd:element name="Owner_x0028_s_x0029_" ma:index="9" nillable="true" ma:displayName="Owner(s)" ma:internalName="Owner_x0028_s_x0029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PIE"/>
                    <xsd:enumeration value="EDP"/>
                    <xsd:enumeration value="ENEA"/>
                    <xsd:enumeration value="Energinvest"/>
                    <xsd:enumeration value="IK4"/>
                    <xsd:enumeration value="INESCTEC"/>
                    <xsd:enumeration value="VITO"/>
                  </xsd:restriction>
                </xsd:simpleType>
              </xsd:element>
            </xsd:sequence>
          </xsd:extension>
        </xsd:complexContent>
      </xsd:complexType>
    </xsd:element>
    <xsd:element name="Due_x0020_by" ma:index="10" nillable="true" ma:displayName="Due by" ma:format="DateOnly" ma:internalName="Due_x0020_by" ma:readOnly="false">
      <xsd:simpleType>
        <xsd:restriction base="dms:DateTime"/>
      </xsd:simpleType>
    </xsd:element>
    <xsd:element name="ef5918871aac4949adbf9c1884f810c2" ma:index="21" ma:taxonomy="true" ma:internalName="ef5918871aac4949adbf9c1884f810c2" ma:taxonomyFieldName="Document_x0020_type" ma:displayName="Document type" ma:readOnly="false" ma:fieldId="{ef591887-1aac-4949-adbf-9c1884f810c2}" ma:sspId="fc20e29d-4d9b-411e-9260-307e9281c907" ma:termSetId="a1aca0af-099e-4afb-b49e-8a72fd1501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d8e8f002cf4aa0b1be8c688fa59aed" ma:index="23" nillable="true" ma:taxonomy="true" ma:internalName="p0d8e8f002cf4aa0b1be8c688fa59aed" ma:taxonomyFieldName="document_x0020_status" ma:displayName="Document status" ma:readOnly="false" ma:fieldId="{90d8e8f0-02cf-4aa0-b1be-8c688fa59aed}" ma:sspId="fc20e29d-4d9b-411e-9260-307e9281c907" ma:termSetId="d10d263e-4df2-4b4f-9b9e-71a998f167f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d7464b74e444de1aa82028733c08f6d" ma:index="24" nillable="true" ma:taxonomy="true" ma:internalName="hd7464b74e444de1aa82028733c08f6d" ma:taxonomyFieldName="Work_x0020_packages" ma:displayName="Work packages" ma:readOnly="false" ma:fieldId="{1d7464b7-4e44-4de1-aa82-028733c08f6d}" ma:sspId="fc20e29d-4d9b-411e-9260-307e9281c907" ma:termSetId="d5be66a3-67e6-403b-b03a-f3d0bbe222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affe684d-77ca-4fbb-93f5-baf0c2ccd198}" ma:internalName="TaxCatchAllLabel" ma:readOnly="true" ma:showField="CatchAllDataLabel" ma:web="668e49d9-a7cc-4463-bf33-58993a54c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7" nillable="true" ma:displayName="Taxonomy Catch All Column" ma:hidden="true" ma:list="{affe684d-77ca-4fbb-93f5-baf0c2ccd198}" ma:internalName="TaxCatchAll" ma:readOnly="false" ma:showField="CatchAllData" ma:web="668e49d9-a7cc-4463-bf33-58993a54c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da308-88d8-484b-91ed-aa76d572f01e" elementFormDefault="qualified">
    <xsd:import namespace="http://schemas.microsoft.com/office/2006/documentManagement/types"/>
    <xsd:import namespace="http://schemas.microsoft.com/office/infopath/2007/PartnerControls"/>
    <xsd:element name="Folder" ma:index="11" nillable="true" ma:displayName="Folder" ma:format="Dropdown" ma:internalName="Folder" ma:readOnly="false">
      <xsd:simpleType>
        <xsd:restriction base="dms:Choice">
          <xsd:enumeration value="Shared EnergyVille"/>
          <xsd:enumeration value="Confidential EnergyVille"/>
          <xsd:enumeration value="Confidential EnergyVille + Partners"/>
        </xsd:restriction>
      </xsd:simpleType>
    </xsd:element>
    <xsd:element name="MeetingData" ma:index="14" nillable="true" ma:displayName="Meeting Data" ma:description="(First) date of the meeting" ma:format="DateOnly" ma:internalName="MeetingData" ma:readOnly="false">
      <xsd:simpleType>
        <xsd:restriction base="dms:DateTime"/>
      </xsd:simpleType>
    </xsd:element>
    <xsd:element name="event" ma:index="15" ma:displayName="Meeting type" ma:format="Dropdown" ma:internalName="event" ma:readOnly="false">
      <xsd:simpleType>
        <xsd:restriction base="dms:Choice">
          <xsd:enumeration value="Kick-off Meeting"/>
          <xsd:enumeration value="General Assembly Meeting"/>
          <xsd:enumeration value="EC Review Meeting"/>
          <xsd:enumeration value="Workpackage Meeting"/>
          <xsd:enumeration value="Task meeting"/>
          <xsd:enumeration value="Technical discussion"/>
          <xsd:enumeration value="Technical Steering Committee meeting"/>
          <xsd:enumeration value="Other"/>
          <xsd:enumeration value="not applicable"/>
        </xsd:restriction>
      </xsd:simpleType>
    </xsd:element>
    <xsd:element name="Workpackage" ma:index="16" ma:displayName="Workpackage" ma:format="Dropdown" ma:internalName="Workpackage" ma:readOnly="false">
      <xsd:simpleType>
        <xsd:restriction base="dms:Choice">
          <xsd:enumeration value="WP1"/>
          <xsd:enumeration value="WP2"/>
          <xsd:enumeration value="WP3"/>
          <xsd:enumeration value="WP4"/>
          <xsd:enumeration value="WP5"/>
          <xsd:enumeration value="WP6"/>
          <xsd:enumeration value="WP7"/>
          <xsd:enumeration value="not applicable"/>
        </xsd:restriction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32" nillable="true" ma:displayName="Tags" ma:hidden="true" ma:internalName="MediaServiceAutoTags" ma:readOnly="true">
      <xsd:simpleType>
        <xsd:restriction base="dms:Text"/>
      </xsd:simpleType>
    </xsd:element>
    <xsd:element name="MediaServiceOCR" ma:index="3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fc20e29d-4d9b-411e-9260-307e9281c9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6" ma:displayName="Title"/>
        <xsd:element ref="dc:subject" minOccurs="0" maxOccurs="1" ma:index="13" ma:displayName="Subject"/>
        <xsd:element ref="dc:description" minOccurs="0" maxOccurs="1"/>
        <xsd:element name="keywords" minOccurs="0" maxOccurs="1" type="xsd:string" ma:index="1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age xmlns="668e49d9-a7cc-4463-bf33-58993a54cc59" xsi:nil="true"/>
    <lcf76f155ced4ddcb4097134ff3c332f xmlns="e56da308-88d8-484b-91ed-aa76d572f01e">
      <Terms xmlns="http://schemas.microsoft.com/office/infopath/2007/PartnerControls"/>
    </lcf76f155ced4ddcb4097134ff3c332f>
    <MeetingData xmlns="e56da308-88d8-484b-91ed-aa76d572f01e" xsi:nil="true"/>
    <p0d8e8f002cf4aa0b1be8c688fa59aed xmlns="668e49d9-a7cc-4463-bf33-58993a54cc59">
      <Terms xmlns="http://schemas.microsoft.com/office/infopath/2007/PartnerControls"/>
    </p0d8e8f002cf4aa0b1be8c688fa59aed>
    <Task xmlns="668e49d9-a7cc-4463-bf33-58993a54cc59" xsi:nil="true"/>
    <TaxCatchAll xmlns="668e49d9-a7cc-4463-bf33-58993a54cc59" xsi:nil="true"/>
    <Workpackage xmlns="e56da308-88d8-484b-91ed-aa76d572f01e"/>
    <Folder xmlns="e56da308-88d8-484b-91ed-aa76d572f01e" xsi:nil="true"/>
    <Roadmap xmlns="668e49d9-a7cc-4463-bf33-58993a54cc59" xsi:nil="true"/>
    <Authors xmlns="668e49d9-a7cc-4463-bf33-58993a54cc59">
      <UserInfo>
        <DisplayName/>
        <AccountId xsi:nil="true"/>
        <AccountType/>
      </UserInfo>
    </Authors>
    <Owner_x0028_s_x0029_ xmlns="668e49d9-a7cc-4463-bf33-58993a54cc59" xsi:nil="true"/>
    <hd7464b74e444de1aa82028733c08f6d xmlns="668e49d9-a7cc-4463-bf33-58993a54cc59">
      <Terms xmlns="http://schemas.microsoft.com/office/infopath/2007/PartnerControls"/>
    </hd7464b74e444de1aa82028733c08f6d>
    <event xmlns="e56da308-88d8-484b-91ed-aa76d572f01e"/>
    <Due_x0020_by xmlns="668e49d9-a7cc-4463-bf33-58993a54cc59" xsi:nil="true"/>
    <ef5918871aac4949adbf9c1884f810c2 xmlns="668e49d9-a7cc-4463-bf33-58993a54cc59">
      <Terms xmlns="http://schemas.microsoft.com/office/infopath/2007/PartnerControls"/>
    </ef5918871aac4949adbf9c1884f810c2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ABBC9251-0D9B-4D17-91B9-B57E92627D54}"/>
</file>

<file path=customXml/itemProps2.xml><?xml version="1.0" encoding="utf-8"?>
<ds:datastoreItem xmlns:ds="http://schemas.openxmlformats.org/officeDocument/2006/customXml" ds:itemID="{933EC24C-EB1F-4CCC-82F8-27A4767CAB1B}"/>
</file>

<file path=customXml/itemProps3.xml><?xml version="1.0" encoding="utf-8"?>
<ds:datastoreItem xmlns:ds="http://schemas.openxmlformats.org/officeDocument/2006/customXml" ds:itemID="{9BAADBB2-DED3-49BF-9069-377E1BA6A6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EnergInvest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Lieven Vanstraelen</dc:creator>
  <cp:keywords/>
  <dc:description/>
  <cp:lastModifiedBy/>
  <cp:revision/>
  <dcterms:created xsi:type="dcterms:W3CDTF">2019-11-23T10:50:16Z</dcterms:created>
  <dcterms:modified xsi:type="dcterms:W3CDTF">2022-07-08T17:45:17Z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0x01010038FAEB89A73F67439F5DC0DB35A183E500E5AFA70C411DBC4CB1299E2954372C0C</vt:lpwstr>
  </property>
  <property fmtid="{D5CDD505-2E9C-101B-9397-08002B2CF9AE}" pid="3" name="document status">
    <vt:lpwstr/>
  </property>
  <property fmtid="{D5CDD505-2E9C-101B-9397-08002B2CF9AE}" pid="4" name="MediaServiceImageTags">
    <vt:lpwstr/>
  </property>
  <property fmtid="{D5CDD505-2E9C-101B-9397-08002B2CF9AE}" pid="5" name="Work packages">
    <vt:lpwstr/>
  </property>
  <property fmtid="{D5CDD505-2E9C-101B-9397-08002B2CF9AE}" pid="6" name="Document type">
    <vt:lpwstr/>
  </property>
</Properties>
</file>